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rhartofelis\Box\Resilience Program\Sea Level Rise\01 SLR Adaptation Funding and Investment Framework\Final Report and Materials\"/>
    </mc:Choice>
  </mc:AlternateContent>
  <xr:revisionPtr revIDLastSave="0" documentId="13_ncr:1_{93EDEB3D-3F4F-4713-95E9-8F513D9966D1}" xr6:coauthVersionLast="47" xr6:coauthVersionMax="47" xr10:uidLastSave="{00000000-0000-0000-0000-000000000000}"/>
  <bookViews>
    <workbookView xWindow="1560" yWindow="1560" windowWidth="15510" windowHeight="12150" tabRatio="915" xr2:uid="{9F7F579C-8B14-4F59-84A8-48E1E3065AEB}"/>
  </bookViews>
  <sheets>
    <sheet name="READ ME" sheetId="49" r:id="rId1"/>
    <sheet name="Archetype Costs Master Key" sheetId="29" r:id="rId2"/>
    <sheet name="Archetype Details" sheetId="55" r:id="rId3"/>
  </sheets>
  <definedNames>
    <definedName name="Riprap_Revetment_Beach__">'Archetype Costs Master Key'!#REF!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29" l="1"/>
  <c r="E19" i="29"/>
  <c r="C19" i="29"/>
  <c r="D18" i="29"/>
  <c r="E18" i="29"/>
  <c r="C18" i="29"/>
  <c r="D17" i="29"/>
  <c r="E17" i="29"/>
  <c r="C17" i="29"/>
  <c r="D16" i="29"/>
  <c r="E16" i="29"/>
  <c r="C16" i="29"/>
  <c r="D44" i="29"/>
  <c r="E44" i="29"/>
  <c r="C44" i="29"/>
  <c r="D37" i="29"/>
  <c r="E37" i="29"/>
  <c r="C37" i="29"/>
  <c r="D38" i="29"/>
  <c r="E38" i="29"/>
  <c r="C38" i="29"/>
  <c r="D39" i="29"/>
  <c r="E39" i="29"/>
  <c r="C39" i="29"/>
  <c r="C20" i="29"/>
  <c r="D20" i="29"/>
  <c r="E20" i="29"/>
  <c r="D9" i="29"/>
  <c r="E9" i="29"/>
  <c r="C9" i="29"/>
  <c r="D35" i="29"/>
  <c r="E35" i="29"/>
  <c r="C35" i="29"/>
  <c r="D34" i="29"/>
  <c r="E34" i="29"/>
  <c r="C34" i="29"/>
  <c r="C36" i="29"/>
  <c r="D36" i="29"/>
  <c r="E36" i="29"/>
  <c r="D21" i="29"/>
  <c r="E21" i="29"/>
  <c r="C21" i="29"/>
  <c r="D22" i="29"/>
  <c r="E22" i="29"/>
  <c r="C22" i="29"/>
  <c r="D12" i="29"/>
  <c r="E12" i="29"/>
  <c r="C12" i="29"/>
  <c r="D11" i="29"/>
  <c r="E11" i="29"/>
  <c r="C11" i="29"/>
  <c r="D75" i="29"/>
  <c r="E75" i="29"/>
  <c r="C75" i="29"/>
  <c r="D45" i="29"/>
  <c r="E45" i="29"/>
  <c r="C45" i="29"/>
  <c r="D10" i="29"/>
  <c r="E10" i="29"/>
  <c r="C10" i="29"/>
  <c r="D8" i="29"/>
  <c r="E8" i="29"/>
  <c r="C8" i="29"/>
  <c r="D31" i="29"/>
  <c r="E31" i="29"/>
  <c r="C31" i="29"/>
  <c r="D14" i="29"/>
  <c r="E14" i="29"/>
  <c r="C14" i="29"/>
  <c r="D6" i="29"/>
  <c r="E6" i="29"/>
  <c r="D41" i="29"/>
  <c r="E41" i="29"/>
  <c r="C41" i="29"/>
  <c r="C6" i="29"/>
  <c r="D7" i="29"/>
  <c r="E7" i="29"/>
  <c r="C7" i="29"/>
  <c r="D5" i="29"/>
  <c r="E5" i="29"/>
  <c r="C5" i="29"/>
  <c r="D13" i="29"/>
  <c r="E13" i="29"/>
  <c r="C13" i="29"/>
  <c r="D40" i="29"/>
  <c r="E40" i="29"/>
  <c r="C40" i="29"/>
  <c r="D30" i="29"/>
  <c r="E30" i="29"/>
  <c r="C30" i="29"/>
  <c r="D33" i="29"/>
  <c r="E33" i="29"/>
  <c r="C33" i="29"/>
  <c r="D23" i="29"/>
  <c r="E23" i="29"/>
  <c r="C23" i="29"/>
  <c r="C26" i="29"/>
  <c r="D26" i="29"/>
  <c r="E26" i="29"/>
  <c r="D32" i="29"/>
  <c r="E32" i="29"/>
  <c r="C32" i="29"/>
  <c r="D42" i="29"/>
  <c r="E42" i="29"/>
  <c r="C42" i="29"/>
  <c r="D25" i="29"/>
  <c r="E25" i="29"/>
  <c r="C25" i="29"/>
  <c r="D27" i="29"/>
  <c r="E27" i="29"/>
  <c r="C27" i="29"/>
  <c r="D28" i="29"/>
  <c r="E28" i="29"/>
  <c r="C28" i="29"/>
  <c r="D15" i="29"/>
  <c r="E15" i="29"/>
  <c r="C15" i="29"/>
  <c r="E43" i="29"/>
  <c r="D43" i="29"/>
  <c r="C43" i="29"/>
  <c r="D24" i="29"/>
  <c r="E24" i="29"/>
  <c r="C24" i="29"/>
  <c r="D29" i="29" l="1"/>
  <c r="E29" i="29"/>
  <c r="C29" i="29"/>
  <c r="L81" i="55" l="1"/>
  <c r="L80" i="55"/>
  <c r="L79" i="55"/>
  <c r="L73" i="55"/>
  <c r="L72" i="55"/>
  <c r="M69" i="55"/>
  <c r="M63" i="55"/>
  <c r="L63" i="55" s="1"/>
  <c r="L59" i="55"/>
  <c r="L52" i="55"/>
  <c r="L51" i="55"/>
  <c r="L50" i="55"/>
  <c r="L49" i="55"/>
  <c r="L46" i="55"/>
  <c r="L45" i="55"/>
  <c r="L44" i="55"/>
  <c r="L42" i="55"/>
  <c r="L41" i="55"/>
  <c r="L40" i="55"/>
  <c r="L37" i="55"/>
  <c r="L36" i="55"/>
  <c r="L34" i="55"/>
  <c r="L29" i="55"/>
  <c r="N24" i="55" l="1"/>
  <c r="M23" i="55"/>
  <c r="L9" i="55"/>
  <c r="M6" i="55"/>
  <c r="F33" i="29" l="1"/>
  <c r="F23" i="29" s="1"/>
</calcChain>
</file>

<file path=xl/sharedStrings.xml><?xml version="1.0" encoding="utf-8"?>
<sst xmlns="http://schemas.openxmlformats.org/spreadsheetml/2006/main" count="610" uniqueCount="291">
  <si>
    <t>Source</t>
  </si>
  <si>
    <t>Subactivity</t>
  </si>
  <si>
    <t>Habitat</t>
  </si>
  <si>
    <t>Low</t>
  </si>
  <si>
    <t>Median</t>
  </si>
  <si>
    <t>High</t>
  </si>
  <si>
    <t>Units</t>
  </si>
  <si>
    <t>Notes</t>
  </si>
  <si>
    <t>Restoration/Rehabilitation/Enhancement</t>
  </si>
  <si>
    <t>Tidal marshes</t>
  </si>
  <si>
    <t>$/acre</t>
  </si>
  <si>
    <t>Creek and riparian zone</t>
  </si>
  <si>
    <t>Sediment Management</t>
  </si>
  <si>
    <t>Beaches</t>
  </si>
  <si>
    <t>Unknown</t>
  </si>
  <si>
    <t>Upland</t>
  </si>
  <si>
    <t>Acquisition/Preservation/Protection</t>
  </si>
  <si>
    <t>Other</t>
  </si>
  <si>
    <t>None</t>
  </si>
  <si>
    <t>Elevate land</t>
  </si>
  <si>
    <t>Flood walls and berms</t>
  </si>
  <si>
    <t>Mudflat</t>
  </si>
  <si>
    <t>$/LF</t>
  </si>
  <si>
    <t>Revetments and riprap</t>
  </si>
  <si>
    <t>Elevate or realign transportation</t>
  </si>
  <si>
    <t>Ecotone Levees</t>
  </si>
  <si>
    <t>Submerged Aquatic Vegetation</t>
  </si>
  <si>
    <t>Seawalls</t>
  </si>
  <si>
    <t>Bulkheads</t>
  </si>
  <si>
    <t>Tide Gate</t>
  </si>
  <si>
    <t>Storm Drains</t>
  </si>
  <si>
    <t>Dune and Shoreline</t>
  </si>
  <si>
    <t>$/LS</t>
  </si>
  <si>
    <t>Citation</t>
  </si>
  <si>
    <t xml:space="preserve">Coyote Hills Regional Park Restoration </t>
  </si>
  <si>
    <t>Calculated by dividing total funding ($12,000,000) need by total project area (159 acres).</t>
  </si>
  <si>
    <t>EcoAtlas - Restore Hayward Marsh (Former USD Treatment Marsh)</t>
  </si>
  <si>
    <t>Calculated by dividing total funding ($10,000,000) need by total project area (172 acres).</t>
  </si>
  <si>
    <t>http://www.edc.uri.edu/restoration/html/tech_sci/socio/costs.htm</t>
  </si>
  <si>
    <t>RI Habitat Restoration - Seagrass Resoration</t>
  </si>
  <si>
    <t xml:space="preserve">High and low costs taken directly from seagrass restoration project ranges from RI Habitat restoration site. Median calculated by averaging the high and low ranges for seagrass restoration. </t>
  </si>
  <si>
    <t xml:space="preserve">Lower Walnut Creek Restoration </t>
  </si>
  <si>
    <t>Per unit cost was calculated by summing the funding amounts for each funder and dividing it by the total area.</t>
  </si>
  <si>
    <t>Pinole Creek Restoration</t>
  </si>
  <si>
    <t xml:space="preserve">South Bay Salt Ponds: Eden Landing - Southern Eden Landing (Phase 2) </t>
  </si>
  <si>
    <t>Calculated per unit cost by dividing total funding amount by the total acreage</t>
  </si>
  <si>
    <t>South Bay Salt Ponds: Eden Landing - Ponds E12, E13</t>
  </si>
  <si>
    <t>Marin Ocean Coast Sea Level Rise Adaptation Report - Table 7</t>
  </si>
  <si>
    <t>https://www.marincounty.org/-/media/files/departments/cd/planning/slr/c-smart/2019/181211_csmart_adaptation_report_final_small.pdf?la=en</t>
  </si>
  <si>
    <t>https://ecoatlas.org/regions/ecoregion/statewide/projects/9495</t>
  </si>
  <si>
    <t>Stinson Beach Nature-Based Adaptation Study</t>
  </si>
  <si>
    <t>https://www.marincounty.org/-/media/files/departments/cd/planning/slr/c-smart/stinsonnba_final_report.pdf?la=en</t>
  </si>
  <si>
    <t>Bahia Acquisition</t>
  </si>
  <si>
    <t>City of Millbrae, CA - Sea Level Rise Adaptation Assessment</t>
  </si>
  <si>
    <t>https://www.ci.millbrae.ca.us/home/showpublisheddocument/23203/637300819844270000</t>
  </si>
  <si>
    <t>http://files.mtc.ca.gov/pdf/MTC_ClmteChng_ExtrmWthr_Adtpn_Report_Final.pdf</t>
  </si>
  <si>
    <t>Cost and Effectivenness Analysis of Select New Jersey Living Shoreline Projects</t>
  </si>
  <si>
    <t>https://www.conservationgateway.org/ConservationPractices/Marine/crr/library/Documents/ED_SIT_DL_20_9_CV5%20Cost%20Effectiveness%20Final%20Report.pdf</t>
  </si>
  <si>
    <t>Marin Ocean Coast Sea Level Rise Adaptation Report</t>
  </si>
  <si>
    <t>Stinson Beach Nature-Based Adaptation Study - Table 6</t>
  </si>
  <si>
    <t>Elevated roadway (2-lanes)</t>
  </si>
  <si>
    <t>Elevated roadway (4-lanes)</t>
  </si>
  <si>
    <t>$/sf</t>
  </si>
  <si>
    <t>City of East Palo Alto Development Impact Fee Program NEXUS STUDY</t>
  </si>
  <si>
    <t>$/impervious acre</t>
  </si>
  <si>
    <t>$/TN</t>
  </si>
  <si>
    <t>https://www.millvalleylibrary.org/DocumentCenter/View/2258/Flood-Management-2021-Full-Report-PDF</t>
  </si>
  <si>
    <t>none</t>
  </si>
  <si>
    <t>Breakwaters, artificial reefs, and groins</t>
  </si>
  <si>
    <t>Beach/Submerged Aquatic Vegetation</t>
  </si>
  <si>
    <t>Central San Francisco Bay Regional Sediment Management Plan</t>
  </si>
  <si>
    <t>https://bcdc.ca.gov/sediment/CentralSFBayRSMPlan.pdf</t>
  </si>
  <si>
    <t>The cost and feasibility of marine coastal restoration</t>
  </si>
  <si>
    <t>https://esajournals.onlinelibrary.wiley.com/doi/full/10.1890/15-1077</t>
  </si>
  <si>
    <t xml:space="preserve">The original costs were derived from Table 1. The low, median, and high of cost estimates originated from the "Seagrass" ecosystem in the "Developed" economy category. The columns titled "Restoration cost" and "Total restoration cost"  were used to determine the range of median costs in $/hectare not (in paranthesis). The cost was then converted from $/hectare to $/acre. </t>
  </si>
  <si>
    <t>EcoAtlas - Oakland International Airport Perimeter Dike &amp; Initial Study/Mitigated Degative Declaration of Airport Perimeter Dike FEMA and Seismic Improvements Project</t>
  </si>
  <si>
    <t>https://edepot.wur.nl/380818</t>
  </si>
  <si>
    <t>https://www.baylandinc.com/wheel-creek-watershed-assessment-stream-restoration-stormwater-management</t>
  </si>
  <si>
    <t>http://elkhornslough.org/tidalwetland/downloads/Elkhorn_Slough_Tidal_Marsh_Restoration_Plan.pdf</t>
  </si>
  <si>
    <t>Elkhorn Slough Tidal Marsh Restoration Project</t>
  </si>
  <si>
    <t>https://www.thespruce.com/costs-and-installation-tips-when-building-a-riprap-844741</t>
  </si>
  <si>
    <t>Rip Rap Shoreline Protection -  White Lake Dock &amp; Dredge Inc</t>
  </si>
  <si>
    <t xml:space="preserve">Taken directly Table ES-1. Continues (pg. 18)  in description section titled "Cost Estimate Components, 2001 Dollars." The low estimate is taken from the lowest value under "Restoration construction - not dredged sediment." The median value was taken from the upper range value of  "Restoration construction - not dredged sediment. The high value was taken from "Restoration construction - with dredged sediment." </t>
  </si>
  <si>
    <t>https://nerrssciencecollaborative.org/media/files/South%20Bay%20Salt%20Pond%20Feasibility%20Study_2002.pdf</t>
  </si>
  <si>
    <t>Costs of Adapting Coastal Defences to Sea-Level Rise - New Estimates and their Implications</t>
  </si>
  <si>
    <t xml:space="preserve"> https://www.researchgate.net/publication/278646574</t>
  </si>
  <si>
    <t>South Bay Salt Pond Restoration - San Francisco Estuary, California</t>
  </si>
  <si>
    <t>Levees and Dikes</t>
  </si>
  <si>
    <t>https://cabcdc-my.sharepoint.com/:x:/r/personal/amelia_stonkus_bcdc_ca_gov/_layouts/15/Doc.aspx?sourcedoc=%7B3430CBF8-D4D4-4513-BF12-A8E0E575720A%7D&amp;file=Hayward%20Cost%20Estimates_DRAFT_200421.xlsx&amp;action=default&amp;mobileredirect=true</t>
  </si>
  <si>
    <t>Hayward Cost Estimates - Levee Raising (outboard of the LOP)</t>
  </si>
  <si>
    <t>Hayward Cost Estimates - Levee Raising (inland of the LOP)</t>
  </si>
  <si>
    <t>Tidal Marsh - Hayward Cost Estimates</t>
  </si>
  <si>
    <t>Revetments - Hayward Cost Estimates</t>
  </si>
  <si>
    <t>Ecotone-Horizontal Levees</t>
  </si>
  <si>
    <t>Acquisition - Tidal Marsh</t>
  </si>
  <si>
    <t>Restoration Dune and Shoreline</t>
  </si>
  <si>
    <t>Restoration Beach</t>
  </si>
  <si>
    <t>Restoration Creek and Riparian</t>
  </si>
  <si>
    <t>Restoration Tidal Marsh</t>
  </si>
  <si>
    <t>Elevate Tidal Marsh</t>
  </si>
  <si>
    <t>Elevate Transportation</t>
  </si>
  <si>
    <t>Sediment Management Beaches</t>
  </si>
  <si>
    <t>Seawall</t>
  </si>
  <si>
    <t>Storm Drainage</t>
  </si>
  <si>
    <t>Raising Existing Levee</t>
  </si>
  <si>
    <t>https://www.gcrc.uga.edu/wp-content/uploads/2019/10/Thin-Layer-Placement-Report-final3.pdf</t>
  </si>
  <si>
    <t xml:space="preserve">Taken directly from the "Cost Analysis" section on pg. 18 of the report. The low range is taken from the Avalon project and the high range is taken from the Forescue project. The average of these was placed in the "median" category. </t>
  </si>
  <si>
    <t>Beneficial Use of Dredged Material to Enhance Salt Marsh Habitat in New Jersey</t>
  </si>
  <si>
    <t>https://www.nj.gov/dep/dsr/wetlands/beneficial-use-dredged-material-project-summary-lessons-learned.pdf</t>
  </si>
  <si>
    <t>Hayward Shoreline Master Plan Flood Protection Levee</t>
  </si>
  <si>
    <t>Reuse of dredged material</t>
  </si>
  <si>
    <t>New Tide Gate</t>
  </si>
  <si>
    <t>https://ecoatlas.org/regions/ecoregion/statewide/projects/5302</t>
  </si>
  <si>
    <t>https://www.ecoatlas.org/regions/ecoregion/statewide/projects/5320</t>
  </si>
  <si>
    <t>https://www.ecoatlas.org/regions/ecoregion/statewide/projects/5340</t>
  </si>
  <si>
    <t>https://www.ecoatlas.org/regions/waterboard/san-francisco-bay/projects/5621</t>
  </si>
  <si>
    <t>https://www.ecoatlas.org/regions/ecoregion/statewide/projects/5294</t>
  </si>
  <si>
    <t>https://www.ecoatlas.org/regions/ecoregion/statewide/projects/5333</t>
  </si>
  <si>
    <t>https://www.ecoatlas.org/regions/ecoregion/statewide/projects/5667</t>
  </si>
  <si>
    <t>https://www.ecoatlas.org/regions/waterboard/san-francisco-bay/projects/5705</t>
  </si>
  <si>
    <t>https://www.portofoakland.com/files/PDF/environment/Airport_Public_Draft_IS_MND.pdf</t>
  </si>
  <si>
    <t>https://www.ecoatlas.org/regions/ecoregion/statewide/projects/10241</t>
  </si>
  <si>
    <t>https://www.cityofepa.org/sites/default/files/fileattachments/public_works/page/4101/epa_allocation_methods_technical_memo_-_final_2019_02_28_201903051337056622.pdf</t>
  </si>
  <si>
    <t>https://ecoatlas.org/regions/ecoregion/statewide/projects/5304</t>
  </si>
  <si>
    <t>https://mtcdrive.box.com/s/n4tnddks2lpruif8051buknh4zh7rm0g</t>
  </si>
  <si>
    <t>https://mtcdrive.box.com/s/1dtub4o56dzz1cwj2oibe1xbz8217xjz</t>
  </si>
  <si>
    <t>Contents</t>
  </si>
  <si>
    <t xml:space="preserve"> Per unit cost was calculated by summing the funding amounts for each funder and dividing it by the total area.</t>
  </si>
  <si>
    <t>Todd Hallenbeck: todd.hallenbeck@bcdc.ca.gov</t>
  </si>
  <si>
    <t xml:space="preserve">Taken directly from Hayward Cost Estimates spreadsheet (shared by Erik Pearson) in the component titled "Tidal Marsh" under the Unit Costs column. </t>
  </si>
  <si>
    <t>Plan Bay Area 2050 Archetype - Sea Wall (simple )</t>
  </si>
  <si>
    <t>Plan Bay Area 2050 Archetype - Sea Wall (sloped berm)</t>
  </si>
  <si>
    <t>Plan Bay Area 2050 Archetype - Elevated roadway (2-lanes)</t>
  </si>
  <si>
    <t>Plan Bay Area 2050 Archetype - Elevated roadway (4-lanes)</t>
  </si>
  <si>
    <t>Plan Bay Area 2050 Archetype - Elevated highway (8-lanes)</t>
  </si>
  <si>
    <t>Taken directly from Plan Bay Area 2050 Archetype estimates in row titled "Elevated roadway (2-lanes)"</t>
  </si>
  <si>
    <t>Taken directly from Plan Bay Area 2050 Archetype estimates in row titled "Elevated roadway (4-lanes)"</t>
  </si>
  <si>
    <t xml:space="preserve">Taken directly from Plan Bay Area 2050 Archetype estimates in row titled "Elevated roadway (8-lanes)" </t>
  </si>
  <si>
    <t>acre</t>
  </si>
  <si>
    <t>impervious acre</t>
  </si>
  <si>
    <t>Instructions</t>
  </si>
  <si>
    <t xml:space="preserve">Sea Level Rise Adaptation Funding and Investment Framework: </t>
  </si>
  <si>
    <t>SUMMARY OF UNIQUE ARCHETYPE COMBOS</t>
  </si>
  <si>
    <t>SF Waterfront Resilience Program (Pers Com)</t>
  </si>
  <si>
    <t>Taken from cost comparison matrix provided by Mark Norcross (2022) reflecting data collected from SFBRA for the Hamilton Field orizontal Levee project (2005$). Pers Com.</t>
  </si>
  <si>
    <t>ACOE/Valley Water Alviso Hoizontal Levee</t>
  </si>
  <si>
    <t>Hamilton Field Horizontal Levee</t>
  </si>
  <si>
    <t>SF Waterfront Reilience Program</t>
  </si>
  <si>
    <t>SF Waterfront Resilience Program</t>
  </si>
  <si>
    <t>SF Waterfront Resilience Program - floodwalls</t>
  </si>
  <si>
    <t>SF Waterfront Resilience Program - floodwalls w/ Ecological enhancement</t>
  </si>
  <si>
    <t>Sf Waterfront Resilience Program</t>
  </si>
  <si>
    <t>SF WRA. Total construction costs, no escalation. Converted from LF. Pers Com</t>
  </si>
  <si>
    <t>Alhambra Creek Restoration and Environmental Education Collaborative</t>
  </si>
  <si>
    <t>The original costs were derived from Table 1. The low, median, and high of cost estimates originated from the "Saltmarshes" ecosystem in the "Developed" economy category. The columns titled "Restoration cost" and "Total restoration cost"  were used to determine the range of median costs in $/hectare not (in parantheses). The cost was then converted from $/hectare to $/acre. Prices reflect inflation rate of -15.7480910697447% between 2010 and 2020 (baseline).</t>
  </si>
  <si>
    <t xml:space="preserve">Taken directy from the column titled "Cost" and the row titled "Beach nourishment" under the column titled "Strategy" in Table 7. Adaptation Strategy Characteristics. The "Cost" column includes the cost ($) over a unit (Ac). </t>
  </si>
  <si>
    <t xml:space="preserve">The total impervious acreage was determined from the "Total" row in Table D-2 (pg. 51). The value represents the total imperivous acres assumptions for Storm Drainage. The total cost was determined from the "Storm Drainage" row under the column "Gross Project Cost ($2018) in Table 2-4 (pg. 8). </t>
  </si>
  <si>
    <t xml:space="preserve">Georgia Department of Natural Resources - Use of Thin Layer Placement of Dredged Material for Salt Marsh Restoration </t>
  </si>
  <si>
    <t>None - existing structure</t>
  </si>
  <si>
    <t>Diked subsided baylands management</t>
  </si>
  <si>
    <t>Tidal Marshes</t>
  </si>
  <si>
    <t>Plan Bay Area 2050 Archetype Marsh Restoration (&lt;500 acres)</t>
  </si>
  <si>
    <t>Plan Bay Area 2050 Archetype Marsh Restoration (500 - 2500 acres)</t>
  </si>
  <si>
    <t>Plan Bay Area 2050 Archetype Marsh Restoration (&gt;2500 acres)</t>
  </si>
  <si>
    <t>Inflation Adjustment</t>
  </si>
  <si>
    <t>City of Millbrae, CA - Sea Level Rise Adaptation Assessment (8' levee)</t>
  </si>
  <si>
    <t>City of Millbrae, CA - Sea Level Rise Adaptation Assessment (5' levee)</t>
  </si>
  <si>
    <t>PBA50 - New Traditional Levee (9' levee, 8' crest width)</t>
  </si>
  <si>
    <t>PBA50 - New Traditional Levee (9' levee, 18' crest width)</t>
  </si>
  <si>
    <t>PBA50 - New Traditional Levee (9' levee, 50' crest width)</t>
  </si>
  <si>
    <t>PBA50 - New Traditional Levee (9' levee, 80' crest width)</t>
  </si>
  <si>
    <t>PBA50 - Ecotone Levee (9' levee, 18' crest width, 30:1 Slope)</t>
  </si>
  <si>
    <t>PBA50 - Ecotone Levee (9' levee, 18' crest width, 10:1 Slope)</t>
  </si>
  <si>
    <t>Hayward Cost Estimates - Ecotone Levees (7' Height, 30:1 slope)</t>
  </si>
  <si>
    <t>Hayward Cost Estimates - Horizontal Levees (7' Height, 30:1 slope)</t>
  </si>
  <si>
    <t>Climate Change and Extreme Weather Adaptation Options for Transportation Assests in the Bay Area Pilot Project (8.6 levee, 18' crest width, 5:1 slope)</t>
  </si>
  <si>
    <t>Stinson Beach Nature-Based Adaptation (Planning Study)</t>
  </si>
  <si>
    <t>Stinson Beach Nature-Based Adaptation (Project Scoping)</t>
  </si>
  <si>
    <t>South Bay Salt Ponds: Alviso - Island Ponds A19, A20, A21 an Ravenswood Ponds R3, R4, R5, S5 (Phase 2)</t>
  </si>
  <si>
    <t>Plan Bay Area 2050 Archetype - Medium Tidal Gate (100' wide channel)</t>
  </si>
  <si>
    <t>Plan Bay Area 2050 Archetype - Large Tidal Gate  (400' wide channel)</t>
  </si>
  <si>
    <t>Taken directy from the column titled "Cost" and the row titled "Horizontal levee" under the column titled "Strategy" in Table 7. Adaptation Strategy Characteristics. The "Cost" column includes the cost ($) over a unit (km). The unit was then converted from the $/Km values to $/LF values.
Min/Max: No range was presented in the source material. A range was created by apply factors of 0.5 and 2.0.</t>
  </si>
  <si>
    <t>Taken directly from Plan Bay Area 2050 Archetype cost estimates. Prices reflect inflation rate of -1.233106% between 2019 and 2020 (baseline). Unlike other PBA50 values, these were not re-escalated because the methodology to produce them was based on case studies rather than a unit cost for construction.</t>
  </si>
  <si>
    <t>Cost Estimate (2022)</t>
  </si>
  <si>
    <t>Alameda Point - Encinal Dune Restoration and Shoreline Stabilization</t>
  </si>
  <si>
    <t>$2,000 - $8,000</t>
  </si>
  <si>
    <t>$30M-$44M</t>
  </si>
  <si>
    <t>Mill Valley Flood Management and Storm Drain Master Plan - Vegetated Rip Rap</t>
  </si>
  <si>
    <t>Keynotes International Symposium - Generic Cost</t>
  </si>
  <si>
    <t>Keynotes International Symposium - Yong San Gang II Project</t>
  </si>
  <si>
    <t>Plan Bay Area 2050 Archetype Raise existing levee (5.5' additional height)</t>
  </si>
  <si>
    <t>$2.5-$5M</t>
  </si>
  <si>
    <t>Riprap-Revetment</t>
  </si>
  <si>
    <t>CONSTRUCTION COST RANGE</t>
  </si>
  <si>
    <t>Wheel Creek Stream Restoration, Harford County, MD</t>
  </si>
  <si>
    <t>Riprap-Revetments</t>
  </si>
  <si>
    <t>Rachael Hartofelis: rhartofelis@bayareametro.gov</t>
  </si>
  <si>
    <t xml:space="preserve">Contact Information: </t>
  </si>
  <si>
    <t>Cost Estimate (Source Year)</t>
  </si>
  <si>
    <t>Source Year</t>
  </si>
  <si>
    <t>Adjustment Value</t>
  </si>
  <si>
    <t>Source Data</t>
  </si>
  <si>
    <t>Direct Construction Costs</t>
  </si>
  <si>
    <t>Total Costs</t>
  </si>
  <si>
    <t xml:space="preserve">Per unit cost was calculated by dividing the total project cost reported in EcoAtlas by the area. </t>
  </si>
  <si>
    <t>Archetype</t>
  </si>
  <si>
    <t>Restoration Upland</t>
  </si>
  <si>
    <t>Acquisition Tidal Marsh</t>
  </si>
  <si>
    <t>Restoration Submerged Vegetation</t>
  </si>
  <si>
    <t>Breakwaters</t>
  </si>
  <si>
    <t>Raising Existing Levees</t>
  </si>
  <si>
    <t>Archetype Category</t>
  </si>
  <si>
    <t>Ecotone / Horizontal Levees</t>
  </si>
  <si>
    <t>Tidal Gates</t>
  </si>
  <si>
    <t>Restoration Polders</t>
  </si>
  <si>
    <t>Tide Gates</t>
  </si>
  <si>
    <t>Elevated roadway (8-lanes)</t>
  </si>
  <si>
    <t>Updated June 2023</t>
  </si>
  <si>
    <t>Background</t>
  </si>
  <si>
    <t xml:space="preserve">The Sea Level Rise Adaptation Funding and Investment Framework (Framework) is a data-driven research project co-led by MTC/ABAG and BCDC. In October 2021, BCDC’s Bay Adapt Joint Platform and MTC/ABAG’s Plan Bay Area 2050 Implementation Plan identified a priority action to develop a regional funding framework to identify near-term adaptation needs, and to study possible funding approaches. MTC/ABAG and BCDC worked in partnership to develop a Sea Level Rise Adaptation Funding and Investment Framework to advance the tasks outlined by Plan Bay Area 2050 and Bay Adapt. The Framework leveraged the best available data to analyze regional potential revenue approaches to address the regional sea level rise adaptation funding need.
</t>
  </si>
  <si>
    <t>For more information on the Framework, please visit this linked website.</t>
  </si>
  <si>
    <t>Adaptation Costs Description</t>
  </si>
  <si>
    <t>each</t>
  </si>
  <si>
    <t>linear foot</t>
  </si>
  <si>
    <t>square foot</t>
  </si>
  <si>
    <t>Table 7 - Adaptation Strategy Characteristics on page 68 (the second page of Table 7). Taken from "Cost" column and the row "Elevate roads on trestles". The "Cost" column includes the cost ($) over a unit (sf). Because the cost is in square footage rather than linear feet, a 2-lane roadway with shoulders (50-foot ROW) was assumed. The $570 sf * 50ft = $28,500
Min/Max: The planning level study was esclated by factors of 0.5 and 2.0
Dimension: Assumes a 50-foot ROW.</t>
  </si>
  <si>
    <t>Project details are described on the website. The construction cost was divided by the primary project area.
Location Increase: A factor of 1.38 was applied to the project outside Baltimore to reflect the difference in projects costs for out of region projects.</t>
  </si>
  <si>
    <t>Table 9 on page 42 of the report. Per unit costs for "Grassland Revegetation" was used.</t>
  </si>
  <si>
    <t>Taken from Table 9 (page 170), which highlights $46M - $54M alternatives to address 3.3 feet of sea level rise that integrates cobble berm and sand. To convert to acres from project cost, the schematics of the project earlier in the document were used and then Google maps was used to estimate a roughly 40 acre area.
Min/Max: The planning level study had 0.5 and 2.0 factors applied for min and max values.</t>
  </si>
  <si>
    <r>
      <t xml:space="preserve">Table A- Summary of </t>
    </r>
    <r>
      <rPr>
        <i/>
        <sz val="10"/>
        <color rgb="FF000000"/>
        <rFont val="Calibri"/>
        <family val="2"/>
      </rPr>
      <t>Benefit/Cost Ratio for Selected Beaches Inside San Francisco Bay on page 89 of the pdf. The table in the current form had to be worked out to convert beach widths and cubic yards into a more useable value. The length of the beaches was determined using google maps. The resulting beach nourishment by the area of the beach was roughly 4-5 feet. The cost is the average across the estimates for</t>
    </r>
    <r>
      <rPr>
        <sz val="10"/>
        <color rgb="FF000000"/>
        <rFont val="Calibri"/>
        <family val="2"/>
      </rPr>
      <t xml:space="preserve"> McNears, Baker Beach, Crown Beach, and Albany Bulb.
Min/Max: Given these were planning level assumptions a factor of 0.5 and 2.0 were applied.</t>
    </r>
  </si>
  <si>
    <t>EcoAtlas
Special Notes: Per unit cost was calculated by summing the funding amounts for each funder and dividing it by the total area. This cost did include work to remove old infrastructure and debris in the area and other work. It wasn't possible to parse out the costs for each element.</t>
  </si>
  <si>
    <t>Table 7. Adaptation Strategy Characteristics on page 67. Taken from "Cost" column and the row titled "Dune Restoration/Nourishment". The "Cost" column includes the cost ($) over a unit (Ac).
Min/Max: the planning level study was ajusted by factors of 0.5 and 2.0</t>
  </si>
  <si>
    <t>Table 6 Compilation of Engineering Unit Costs for Shoreline Adaptation on pg. 165.  Taken from "Cost" column and the row titled "Dune Restoration".
Min/Max: the planning level study was ajusted by factors of 0.5 and 2.0</t>
  </si>
  <si>
    <t>Under the "Cost" section on pg. 10 the low range is taken from the cost/hectare for a 5-cm layer and the high cost is taken from the 20-cm layer scenario. The cost/hectare was then converted into cost/acre. 
Location Adjustment: A factor of 1.49 was applied to convert costs in the Gulf of Mexico to the Bay Area.
Min/MAx: The value used is only for dredged sediment costs. The min max values for 1.8755 and 5.6 were used for the low and high estimates.</t>
  </si>
  <si>
    <t>Table 7. Adaptation Strategy Characteristics, page 67. Taken from "Cost" column and row titled "Breakwaters, artificial reefs, and groins". The "Cost" column includes the cost ($) over a unit (km) and is provided as a range. Values are converted from KM to LF 
Min/Max: Min and Max are from a range included in the study.</t>
  </si>
  <si>
    <t>SF Presentation Feedback for the Framework (September 2022).
Min/Max: No range was presented in the source material. A range was created by applying factors of 0.5 and 2.
Does not include escalation.</t>
  </si>
  <si>
    <t>Table 4-2 Unit Cost and Total Cost of Levees and Floodwalls on page 69. Taken directly from the column titled "Floodwall ($/lf)".
Min/Max: The table calculates floodwalls at heights from 1 to 8'. The low value in this table pulls from the unit cost for a 3' floodwall ($1,739) and reduces it by a factor of 0.5. The median value is based on the 5' floodwall cost ($3,130) and is not changed. The max value is based on the 8' floodwall cost ($4,869) and is increased by a factor of 2. The 0.5 and 2.0 factors are used because this a planning level table.
Dimensions: 3' to 8' height.</t>
  </si>
  <si>
    <t>Total Units</t>
  </si>
  <si>
    <t>Appendix Table - Unit Cost Estimates for New Orleans Coastal Defense Project on pg. 1225, pg 16 of pdf). The value from the row, "Earthen Levee Raise" dervied from eight projects was used.
Dimensions: Costs are on a per unit rising. The base value assumes raising a levee 1 meter, 3.28 feet. To be consistent with other estiamtes, the value was multiplied by 1.5 to reflect raising a levee 1.5 meters, 4.9 feet.
Location Escalation: In addition to the other escalation factors, the New Orleans project costs were escalated by 1.49.
Min/Max: Because a range was included, those values represent the low and high estiamtes with a midpoint in the middle.</t>
  </si>
  <si>
    <t>Table 6 Compilation of Engineering Unit Costs for Shoreline Adaptation on pg. 165. Taken from the "Cost" column and row titled "Reinforced Concrete Seawall."
Min/Max: No range was presented in the source material. A range was created by apply factors of 0.5 and 2.
Dimensions: none provided.</t>
  </si>
  <si>
    <t>Pulled from the Table, Polder-Construction Costs in 1982 (page 117) was obtained from the table titled "Polder-construction costs in 1982.
Min/Max: The direct construction costs were used and then escalated by factors of 1.8755, 3.6, and 5.6.</t>
  </si>
  <si>
    <t>Pulled from the project description for the Yong San II Project (pg. 207).
Min/Max: This was an actual project cost -- values are replicated for low and high.
Dimensions. The Polder was designed to be 8 meters high.</t>
  </si>
  <si>
    <t>Taken directly from Plan Bay Area 2050 Archetype cost estimates
Min/Max: the unit cost was reduced by the 1.87 escalation factor used in Plan Bay Area and then had the 1.87, 3.4, and 5.6 factors applied -- similar to all other PBA50 adjustments.
Dimensions: Unit cost for a 100-foot channel.</t>
  </si>
  <si>
    <t>Taken directly from Plan Bay Area 2050 Archetype cost estimates.
Min/Max: the unit cost was reduced by the 1.87 escalation factor used in Plan Bay Area and then had the 1.87, 3.4, and 5.6 factors applied -- similar to all other PBA50 adjustments.
Dimensions: Unit cost for a 400-foot channel.</t>
  </si>
  <si>
    <t>Table 7. Adaptation Strategy Characteristics on page 67. Taken from "Cost"column and the row "Traditional levee". The "Cost" column includes the cost ($) over a unit (Ea). 
Min/Max: represented by the range provided.
Dimensions: none given</t>
  </si>
  <si>
    <t>Hayward Cost Estimates
Min/Max: No range was presented in the source material. A range was built off the construction and material costs by applying factors of 1.8755, 3.6, and 5.6.
Dimensions: from Norfolk Project Scaled includes gate and pipe/culvert (norfolk $48000, for 4'x3' gate, $170 lf for 48" pipe (assumed ours is 300 ' long) Culvert is roughly, ~$135,000for kimball haynes creek xing culvert)</t>
  </si>
  <si>
    <t>WRP pers comm.
Dimensions: The estimate was provided in a per linear foot value ($406,000). To be consistent with the "each" value used elsewhere, an estimated 50' channel length is assumed. The cost does not include escalation.</t>
  </si>
  <si>
    <t>PBA50 Archetype cost estimates, construction and materials sub total value.
Adjustments: PBA50 escalated the subtotal by a factor of 1.8755 to account for other hard and soft costs. Given stakeholder feedback, this factor has been increased to 3.6.
Dimensions: 9' Height, 30:1 Slope and 2:1 Slope, 18' Crest Width</t>
  </si>
  <si>
    <t>PBA50 Archetype cost estimates, construction and materials sub total value.
Adjustments: PBA50 escalated the subtotal by a factor of 1.8755 to account for other hard and soft costs. Given stakeholder feedback, this factor has been increased to 3.6.
Dimensions: 9' Height, 10:1 Slope and 2:1 Slope, 18' Crest Width</t>
  </si>
  <si>
    <t>Table 5-9: Conceptual-Level Cost Estimate for the Living Levee (pg. 142). Estimate is based off the Sub-Total Base Construction Cost.
Dimensions: 8.6' Height, 5:1 Slope, 18' Crest Width
Min/Max: No range was presented in the source material. The max, median, and min are built off the unit construction and material costs, similar to how the prior PBA50 values are used.</t>
  </si>
  <si>
    <t>Hayward Cost Estimate Spreadsheet (shared by Erik Pearson). Costs comprised of costing from Fremont and Palo Alto studies. Summed the top two rows of the spreadsheet (flood protection levee, and ecotone levee) to capture both tradtional levee cross section and the added material for the 30:1 slope.
Dimensions: A bit difficult to discern, but likely ~7' Height, 30:1 Slope and 3:1 Slope, 10' Crest Width.
Min/Max: No range was presented in the source material. The max, median, and min are built off the unit construction and material costs, similar to how the prior PBA50 values are used.</t>
  </si>
  <si>
    <t>Hayward Cost Estimate Spreadsheet (shared by Erik Pearson). Costs comprised of costing from Fremont and Palo Alto studies. Summed the top three rows of the spreadsheet (flood protection levee, ecotone levee, horizontal levee) to capture both tradtional levee cross section and the added material for the 30:1 slope as well as the costs of a horizontal specific levee.
Dimensions: A bit difficult to discern, but likely ~7' Height, 30:1 Slope and 3:1 Slope, 10' Crest Width.
Min/Max: No range was presented in the source material. The max, median, and min are built off the unit construction and material costs, similar to how the prior PBA50 values are used.</t>
  </si>
  <si>
    <t>Taken from cost comparison matrix provided by Mark Norcross (2022) reflecting data collected about the ACOE/Valley Water Alviso project. Pers Com.
Min/Max. No range was presented. Given the project is in environmental we have applied factors of 0.9 and 1.15.</t>
  </si>
  <si>
    <t>PBA50 Archetype cost estimates, construction and materials sub total value.
Adjustments: PBA50 escalated the subtotal by a factor of 1.8755 to account for other hard and soft costs. Given stakeholder feedback, this factor has been increased to 3.6.
Dimensions: 9' Height, 2:1 slope both sides, 8' Crest Width</t>
  </si>
  <si>
    <t>PBA50 Archetype cost estimates, construction and materials sub total value.
Adjustments: PBA50 escalated the subtotal by a factor of 1.8755 to account for other hard and soft costs. Given stakeholder feedback, this factor has been increased to 3.6.
Dimensions: 9' Height, 2:1 slope both sides, 18' Crest Width</t>
  </si>
  <si>
    <t>PBA50 Archetype cost estimates, construction and materials sub total value.
Adjustments: PBA50 escalated the subtotal by a factor of 1.8755 to account for other hard and soft costs. Given stakeholder feedback, this factor has been increased to 3.6.
Dimensions: 9' Height, 2:1 slope both sides, 50' Crest Width</t>
  </si>
  <si>
    <t>PBA50 Archetype cost estimates, construction and materials sub total value.
Adjustments: PBA50 escalated the subtotal by a factor of 1.8755 to account for other hard and soft costs. Given stakeholder feedback, this factor has been increased to 3.6.
Dimensions: 9' Height, 2:1 slope both sides, 80' Crest Width</t>
  </si>
  <si>
    <t>Table 7. (page 63) Adaptation Strategy Characteristics. Taken directly from the column titled "Cost" and the row titled "Traditional levee" under the column titled "Strategy." 
Note: The "Cost" column includes the cost ($) over a unit (km). The unit was then converted from the $/Km value of 5,500,000 to $/LF. 
Min/Max: No range was presented in the source material. A range was created by apply factors of 0.5 and 2.0.
Dimensions: none provided.</t>
  </si>
  <si>
    <t>Table 4-2 (page69) Unit Cost and Total Cost of Levees and Floodwalls. Taken directly from the column titled "Earthen Levee ($/lf)". The table includes estimates for 1, 2, 3, 4, 5, 6, 7, and 8 foot high levees. The values are from a 2015 Foster City report with higher values extrapolated off lower values. This analysis has been divided into two examples for a 5' and 8' levee.
Min/Max: No range was presented in the source material. A range was created by apply factors of 0.5 and 2.0.</t>
  </si>
  <si>
    <t>EcoAtlas was used to determine the total funding of the project (1). The Initial study/mitigated negative declaration (2) was used to determine the total mileage of the proposed dike (4.5 miles). This mileage was then converted to linear feet (23,760 LF). Per unit cost was calculated by taking the funding amount and dividing it by the total length of the dike. The Initial Study was also used to understand the cross section dimensions of the project.
Dimensions: 3' crest width, generally raising existing by 4' but variability across length, 2:1 and 3:1 slope at different portions - primarily 3:1.
Min/Max. No range was presented. Given the project is in environmental we have applied factors of 0.9 and 1.15.</t>
  </si>
  <si>
    <t>Hayward Cost Estimate Spreadsheet. Used unit cost built off the Foster City, CA Levee Project. Uses the first row to cost estimate for the cross section of a traditional levee.
Dimensions: A bit difficult to discern, but likely ~7' Height, 3:1 Slope both sides, 10' Crest Width.
Min/Max: No range was presented in the source material. A range was built off the construction and material costs by applying factors of 1.8755, 3.6, and 5.6.</t>
  </si>
  <si>
    <t>SF Presentation Feedback for the Framework (September 2022).
Min/Max: No range was presented in the source material. A range was created by applying factors of 0.5 and 2.0.</t>
  </si>
  <si>
    <t>PBA50 Archetype costing document, "Raise Existing Levee Archetype."
Dimensions: Assumes an existing levee with 3.5' height, adds 5.5' of height and includes an 8' crest wdith. 2:1 slope.
Min/Max: Uses the Direct Construction Cost subtotal and escalates using 1.8755, 3.6, and 5.6 values.</t>
  </si>
  <si>
    <t>Hayward Cost Estimates spreadsheet (shared by Erik Pearson). Line Item "Levee Raising (outboard of the LOP)" under the Unit Costs column. 
Dimensions: Assumed 3.3' height increase and a 3:1 slope. Additional widening and reinforcement included to flatten the slope of existing levee.
Min/Max: Direct construction costs were incrased by factors of 1.8755, 3.6, 5.6</t>
  </si>
  <si>
    <t>Hayward Cost Estimates spreadsheet (shared by Erik Pearson). Line Item "Levee Raising (inland of the LOP)" under the Unit Costs column. 
Dimensions: assumes 1.5 raising.
Min/Max: Direct construction costs were incrased by factors of 1.8755, 3.6, 5.6</t>
  </si>
  <si>
    <t>Table 10: Gardner's Basin bulkhead/revetment project costs (Page 19). Summed Installation Costs associated with the 1083 LF project. The sum was then divided by the the linear feet of Gardners Basin Green Infrastructure given at the top of the table. Survey and Monitoring costs were not included as those are captured by the overall escalation of the project costs.
Local Escalation: The New Jersey costs are assumed to similar to what they may be in San Francisco Bay Area.
Min/Max: No range was presented in the source material. The max, median, and min are built off the unit construction and material costs, similar to how the prior PBA50 values are used.</t>
  </si>
  <si>
    <t>Table 7. Adaptation Strategy Characteristics (Page 63). Taken directy from the first row "Seawall/revetment" and column titled "Cost." The "Cost" column includes the cost ($) over a unit (km). The unit was then converted from the $/Km value of 22,000,000 to $/LF. 
Min/Max: No range was presented in the source material. A range was created by apply factors of 0.5 and 2.0.
Dimensions: none provided.</t>
  </si>
  <si>
    <t xml:space="preserve">Table 6 Compilation of Engineering Unit Costs for Shoreline Adaptation on pg. 165. Taken from the second of two rows labeled "Rock Revetment" which is based on a draft Pacifica project for 2,700 of shoreline.
Min/Max: Because this cost is built off a project level concept, a -20%  to +30% has been applied to the median cost value. </t>
  </si>
  <si>
    <t>Hayward Cost Estimate Spreadsheet (shared by Erik Pearson). Revetments (row 11) has costs based off costing from Foster City study.
Dimensions: 10' Height, 2:1 Slope, 100sf Cross sectional area.
Min/Max: No range was presented in the source material. The max, median, and min are built off the unit construction and material costs, similar to how the prior PBA50 values are used.</t>
  </si>
  <si>
    <t>Contractor in Michigan with a generic per linear foot cost estimate. Cost is under the FAQ: how much do revetments cost?
Location Cost Escalation: Have adjusted the cost estimate of $2,200/lf by 1.25 to reflect difference in costs between MI and the SF Bay Area.
Min/Max: Assume that the $2,200 is a median cost estimate is 0.2 higher than value for environmental needs in CA. From there, assume min and max are 0.5 and 2.0.</t>
  </si>
  <si>
    <t>Table - Cost Estimate By-Pass Channel Arroyo Corte Madera del Presidion Creek - Mill Valley. Pages 276-278 have scenario for 25 Year Flow, 50 year flow, and 100 year flow with higher corresponding costs. 
Dimensions of Raw Data: The table is sizing rip-rap based on tons, and then converts to cubic yards. Using the dimensions of the rip rap for each flow scenario, the rip rap for the project is roughly $180/lf for the project. This is solely the direct construction costs with no other factors applied.
Min/Max: No range was presented in the source material. The max, median, and min are built off the unit construction and material costs, similar to how the prior PBA50 values are used.
Notes: The Rip/Rap cost is just a small element of the larger project. It is maybe a better cost estimate for when Rip/Rap is a complementary element to other project elements.</t>
  </si>
  <si>
    <t xml:space="preserve">Table 7. Adaptation Strategy Characteristics on page XX. Taken directy from the column titled "Cost" and the row titled "Elevate bulkheads". The "Cost" column includes the cost ($) over a unit (km). Converted km to LF. </t>
  </si>
  <si>
    <t>PBA50 Archetype cost estimates, construction and materials sub total value for the "Sea Wall (Simple)" tab.
Adjustments: PBA50 escalated the subtotal by a factor of 1.8755 to account for other hard and soft costs. Given stakeholder feedback, this factor has been increased to 3.6 for the median value.
Dimensions: 9' Height</t>
  </si>
  <si>
    <t>PBA50 Archetype cost estimates, construction and materials sub total value for the "Sea Wall (w/ sloped berm)" tab.
Adjustments: PBA50 escalated the subtotal by a factor of 1.8755 to account for other hard and soft costs. Given stakeholder feedback, this factor has been increased to 3.6 for the median value.
Dimensions: 9' Height, 18' crest width, 10:1 sloped berm</t>
  </si>
  <si>
    <t>Table 7 on pg. 63. Taken from "Cost" column and the row  "Seawall/revetment". The "Cost" column includes the cost ($) over a unit (km). The unit was then converted from the $/Km value of 37000000  to $/LF. 
Min/Max: No range was presented in the source material. A range was created by apply factors of 0.5 and 2.
Dimensions: none provided.</t>
  </si>
  <si>
    <t xml:space="preserve">Table 6 Compilation of Engineering Unit Costs for Shoreline Adaptation on pg. 165. Taken from the second of two rows labeled "Rock Revetment" which is based on a draft Pacifica project for 2,700 of shoreline.
Min/Max: Because this cost is built off a planning level concept, a 0.5 and 2.0 factor has been applied to the median cost value. </t>
  </si>
  <si>
    <t>EcoAtlas. Calculated per unit cost by dividing total funding need ($31,840,000) by the total acreage.
Min/Max. No range was presented. Given the project is in environmental we have applied factors of 0.9 and 1.15.</t>
  </si>
  <si>
    <t>EcoAtlas and SFBRA Recommendation Memmo. Calculated per unit cost by dividing total funding amount (Found in 2018 SFBRA Memo) by the total acreage (Found in Exhibits 4 and 5 for Ravenswood and Island Ponds sites)
https://www.ecoatlas.org/upfiles/5662/sbsp_phase_2_Staff%20Recommendation.pdf
Min/Max: The project is through environmental so min and max factors of 0.9 and 1.15 were applied.</t>
  </si>
  <si>
    <r>
      <rPr>
        <b/>
        <sz val="11"/>
        <color theme="1"/>
        <rFont val="Calibri"/>
        <family val="2"/>
        <scheme val="minor"/>
      </rPr>
      <t>Archetype Costs Master Key</t>
    </r>
    <r>
      <rPr>
        <sz val="11"/>
        <color theme="1"/>
        <rFont val="Calibri"/>
        <family val="2"/>
        <scheme val="minor"/>
      </rPr>
      <t xml:space="preserve"> </t>
    </r>
  </si>
  <si>
    <r>
      <t>This spreadsheet represents activity</t>
    </r>
    <r>
      <rPr>
        <b/>
        <sz val="11"/>
        <color theme="1"/>
        <rFont val="Calibri"/>
        <family val="2"/>
        <scheme val="minor"/>
      </rPr>
      <t xml:space="preserve"> </t>
    </r>
    <r>
      <rPr>
        <sz val="11"/>
        <color theme="1"/>
        <rFont val="Calibri"/>
        <family val="2"/>
        <scheme val="minor"/>
      </rPr>
      <t>archetype cost assumptions for the Sea Level Rise Adaptation Funding and Investment Framework. The spreadsheet is designed to organize adaptation cost data and offer decriptions for the methodology of cost estimates for sea level rise adaptation archetype projects in the Bay Area. Where no local estimating has been published, activity archetype adaptation cost estimates have been produced. The methodology for the archetypes pulls from a mix of research and project-specific inputs. The design of the spreadsheet will allow for future modifications and additions to current data. These values are to be used for research purposes only.</t>
    </r>
  </si>
  <si>
    <t>Archetype Costs Master Key</t>
  </si>
  <si>
    <t>Archetype Details</t>
  </si>
  <si>
    <t xml:space="preserve">There are 34 unique archetypes categories. Each category summarizes the sources for the cost estimates, followed by a range (low, median, and high) of cost estimates. The Unit column represents the per unit measure for that specific project. The Notes column provides a description of how and where the estimates were derived from the source. Sources are typically a project report, peer reviewed literature, or constructed projects sourced from EcoAtlas. </t>
  </si>
  <si>
    <t>Within each archetype, averages are grouped based on per-unit values. Where appropriate, cost values have been applied to similar archetypes where there was no direct source for that cost. The archetypes were generated based on the unique "subactivity" and "habitat" combinations of projects in EcoAtlas. For each archteype cost estimate that was generated, there is a source calculation archetype (Archetype Category) that corresponds with archetypes on the Archetype Details tab.</t>
  </si>
  <si>
    <t>Displays the details of each master cost estimate with source information.</t>
  </si>
  <si>
    <t>Calculation Assumptions</t>
  </si>
  <si>
    <r>
      <rPr>
        <i/>
        <sz val="11"/>
        <color theme="1"/>
        <rFont val="Calibri"/>
        <family val="2"/>
        <scheme val="minor"/>
      </rPr>
      <t xml:space="preserve">Escalation Rates: </t>
    </r>
    <r>
      <rPr>
        <sz val="11"/>
        <color theme="1"/>
        <rFont val="Calibri"/>
        <family val="2"/>
        <scheme val="minor"/>
      </rPr>
      <t>The original year in which the estimates were completed is listed in the Source Year column. The low, median, and high ranges are escalated to a 2022 cost. All original cost estimates were escalated to costs in July 2022 using the following inflation calculator: https://www.bls.gov/data/inflation_calculator.htm.</t>
    </r>
  </si>
  <si>
    <r>
      <rPr>
        <i/>
        <sz val="11"/>
        <color theme="1"/>
        <rFont val="Calibri"/>
        <family val="2"/>
        <scheme val="minor"/>
      </rPr>
      <t xml:space="preserve">Calculating Average Values: </t>
    </r>
    <r>
      <rPr>
        <sz val="11"/>
        <color theme="1"/>
        <rFont val="Calibri"/>
        <family val="2"/>
        <scheme val="minor"/>
      </rPr>
      <t>The master values are calculated based on averages of the source values.</t>
    </r>
    <r>
      <rPr>
        <i/>
        <sz val="11"/>
        <color theme="1"/>
        <rFont val="Calibri"/>
        <family val="2"/>
        <scheme val="minor"/>
      </rPr>
      <t xml:space="preserve"> </t>
    </r>
    <r>
      <rPr>
        <sz val="11"/>
        <color theme="1"/>
        <rFont val="Calibri"/>
        <family val="2"/>
        <scheme val="minor"/>
      </rPr>
      <t>If the estimate is not originally in a per-unit cost format within the source, it was calculated. If the calculation uses the total cost and area of a project, values are recorded in the Total Cost and Total Area columns. A link to the source used to obtain the cost estimate is provided in the Citation column.</t>
    </r>
  </si>
  <si>
    <t>Estimating Activity Archetype Costs Spreadsheet</t>
  </si>
  <si>
    <t xml:space="preserve">Displays each unique activity archetype and the corresponding low, median, and high construction costs with the given units.  </t>
  </si>
  <si>
    <r>
      <t xml:space="preserve">Start at the </t>
    </r>
    <r>
      <rPr>
        <i/>
        <sz val="11"/>
        <color theme="1"/>
        <rFont val="Calibri"/>
        <family val="2"/>
        <scheme val="minor"/>
      </rPr>
      <t>Archetype Costs Master Key</t>
    </r>
    <r>
      <rPr>
        <sz val="11"/>
        <color theme="1"/>
        <rFont val="Calibri"/>
        <family val="2"/>
        <scheme val="minor"/>
      </rPr>
      <t>. For each activity archetype, the average construction cost range and units are provided. To view the individual cost estimate, open the Archetype Details tab, which will show how the average and individual project cost estimates are calculated.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</si>
</sst>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_);_(&quot;$&quot;* \(#,##0\);_(&quot;$&quot;* &quot;-&quot;??_);_(@_)"/>
    <numFmt numFmtId="165" formatCode="&quot;$&quot;#,##0"/>
  </numFmts>
  <fonts count="24">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8"/>
      <name val="Calibri"/>
      <family val="2"/>
      <scheme val="minor"/>
    </font>
    <font>
      <b/>
      <sz val="22"/>
      <color theme="1"/>
      <name val="Calibri (Body)"/>
    </font>
    <font>
      <b/>
      <sz val="14"/>
      <color theme="1"/>
      <name val="Calibri"/>
      <family val="2"/>
      <scheme val="minor"/>
    </font>
    <font>
      <b/>
      <sz val="14"/>
      <color theme="1"/>
      <name val="Calibri (Body)"/>
    </font>
    <font>
      <i/>
      <sz val="11"/>
      <color theme="1"/>
      <name val="Calibri"/>
      <family val="2"/>
      <scheme val="minor"/>
    </font>
    <font>
      <b/>
      <sz val="16"/>
      <color theme="1"/>
      <name val="Calibri"/>
      <family val="2"/>
      <scheme val="minor"/>
    </font>
    <font>
      <sz val="11"/>
      <name val="Calibri"/>
      <family val="2"/>
    </font>
    <font>
      <b/>
      <sz val="11"/>
      <color theme="0"/>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u/>
      <sz val="10"/>
      <color theme="10"/>
      <name val="Calibri"/>
      <family val="2"/>
      <scheme val="minor"/>
    </font>
    <font>
      <sz val="10"/>
      <color rgb="FF000000"/>
      <name val="Calibri"/>
      <family val="2"/>
    </font>
    <font>
      <i/>
      <sz val="10"/>
      <color rgb="FF000000"/>
      <name val="Calibri"/>
      <family val="2"/>
    </font>
    <font>
      <b/>
      <sz val="10"/>
      <color theme="1"/>
      <name val="Calibri"/>
      <family val="2"/>
      <scheme val="minor"/>
    </font>
    <font>
      <sz val="10"/>
      <color rgb="FF000000"/>
      <name val="Calibri"/>
      <family val="2"/>
      <scheme val="minor"/>
    </font>
    <font>
      <b/>
      <sz val="20"/>
      <color rgb="FF000000"/>
      <name val="Raleway Black"/>
      <family val="2"/>
    </font>
    <font>
      <sz val="18"/>
      <color rgb="FF000000"/>
      <name val="Raleway"/>
      <family val="2"/>
    </font>
    <font>
      <b/>
      <sz val="16"/>
      <color theme="0"/>
      <name val="Calibri"/>
      <family val="2"/>
      <scheme val="minor"/>
    </font>
    <font>
      <b/>
      <sz val="1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0.499984740745262"/>
        <bgColor indexed="64"/>
      </patternFill>
    </fill>
    <fill>
      <patternFill patternType="solid">
        <fgColor theme="9"/>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43" fontId="13" fillId="0" borderId="0" applyFont="0" applyFill="0" applyBorder="0" applyAlignment="0" applyProtection="0"/>
  </cellStyleXfs>
  <cellXfs count="84">
    <xf numFmtId="0" fontId="0" fillId="0" borderId="0" xfId="0"/>
    <xf numFmtId="3" fontId="0" fillId="0" borderId="0" xfId="0" applyNumberFormat="1"/>
    <xf numFmtId="0" fontId="0" fillId="0" borderId="0" xfId="0" applyAlignment="1">
      <alignment horizontal="justify" vertical="top"/>
    </xf>
    <xf numFmtId="0" fontId="5" fillId="0" borderId="0" xfId="0" applyFont="1"/>
    <xf numFmtId="17" fontId="0" fillId="0" borderId="0" xfId="0" applyNumberFormat="1"/>
    <xf numFmtId="0" fontId="6" fillId="0" borderId="0" xfId="0" applyFont="1"/>
    <xf numFmtId="0" fontId="7" fillId="0" borderId="0" xfId="0" applyFont="1"/>
    <xf numFmtId="0" fontId="9" fillId="0" borderId="0" xfId="0" applyFont="1" applyAlignment="1">
      <alignment horizontal="justify" vertical="top"/>
    </xf>
    <xf numFmtId="0" fontId="0" fillId="2" borderId="0" xfId="0" applyFill="1"/>
    <xf numFmtId="0" fontId="0" fillId="0" borderId="0" xfId="0" applyAlignment="1">
      <alignment horizontal="center" vertical="center"/>
    </xf>
    <xf numFmtId="0" fontId="0" fillId="0" borderId="0" xfId="0" applyAlignment="1">
      <alignment vertical="center"/>
    </xf>
    <xf numFmtId="0" fontId="2" fillId="0" borderId="0" xfId="1" applyAlignment="1">
      <alignment horizontal="left"/>
    </xf>
    <xf numFmtId="0" fontId="0" fillId="3" borderId="0" xfId="0" applyFill="1"/>
    <xf numFmtId="0" fontId="12" fillId="0" borderId="0" xfId="0" applyFont="1"/>
    <xf numFmtId="0" fontId="15" fillId="0" borderId="0" xfId="1" applyFont="1"/>
    <xf numFmtId="0" fontId="12" fillId="0" borderId="0" xfId="0" applyFont="1" applyAlignment="1">
      <alignment horizontal="left" vertical="center"/>
    </xf>
    <xf numFmtId="0" fontId="12" fillId="0" borderId="0" xfId="0" applyFont="1" applyAlignment="1">
      <alignment horizontal="center" vertical="center"/>
    </xf>
    <xf numFmtId="0" fontId="16" fillId="0" borderId="0" xfId="0" applyFont="1" applyAlignment="1">
      <alignment horizontal="left" vertical="center"/>
    </xf>
    <xf numFmtId="0" fontId="18" fillId="0" borderId="0" xfId="0" applyFont="1" applyAlignment="1">
      <alignment horizontal="center"/>
    </xf>
    <xf numFmtId="3" fontId="19" fillId="0" borderId="0" xfId="0" applyNumberFormat="1" applyFont="1"/>
    <xf numFmtId="164" fontId="0" fillId="0" borderId="0" xfId="0" applyNumberFormat="1"/>
    <xf numFmtId="0" fontId="3" fillId="0" borderId="0" xfId="0" applyFont="1"/>
    <xf numFmtId="164" fontId="3" fillId="0" borderId="0" xfId="0" applyNumberFormat="1" applyFont="1"/>
    <xf numFmtId="0" fontId="10" fillId="0" borderId="0" xfId="0" applyFont="1" applyAlignment="1">
      <alignment horizontal="center" vertical="center"/>
    </xf>
    <xf numFmtId="0" fontId="1" fillId="5" borderId="0" xfId="0" applyFont="1" applyFill="1" applyAlignment="1">
      <alignment horizontal="center" vertical="center"/>
    </xf>
    <xf numFmtId="0" fontId="1" fillId="5" borderId="0" xfId="0" applyFont="1" applyFill="1" applyAlignment="1">
      <alignment vertical="center"/>
    </xf>
    <xf numFmtId="3" fontId="1" fillId="2" borderId="0" xfId="0" applyNumberFormat="1" applyFont="1" applyFill="1" applyAlignment="1">
      <alignment horizontal="center" vertical="center"/>
    </xf>
    <xf numFmtId="0" fontId="11" fillId="6" borderId="0" xfId="0" applyFont="1" applyFill="1" applyAlignment="1">
      <alignment vertical="center"/>
    </xf>
    <xf numFmtId="16" fontId="0" fillId="0" borderId="0" xfId="0" applyNumberFormat="1"/>
    <xf numFmtId="0" fontId="22" fillId="3" borderId="0" xfId="0" applyFont="1" applyFill="1"/>
    <xf numFmtId="3" fontId="0" fillId="3" borderId="0" xfId="0" applyNumberFormat="1" applyFill="1"/>
    <xf numFmtId="0" fontId="0" fillId="3" borderId="0" xfId="0" applyFill="1" applyAlignment="1">
      <alignment horizontal="center" vertical="center"/>
    </xf>
    <xf numFmtId="0" fontId="1" fillId="3" borderId="0" xfId="0" applyFont="1" applyFill="1" applyAlignment="1">
      <alignment horizontal="center" vertical="center"/>
    </xf>
    <xf numFmtId="0" fontId="0" fillId="7" borderId="0" xfId="0" applyFill="1" applyAlignment="1">
      <alignment horizontal="left" vertical="top"/>
    </xf>
    <xf numFmtId="0" fontId="1" fillId="4" borderId="0" xfId="0" applyFont="1" applyFill="1" applyAlignment="1">
      <alignment horizontal="justify" vertical="top"/>
    </xf>
    <xf numFmtId="0" fontId="22" fillId="3" borderId="0" xfId="0" applyFont="1" applyFill="1" applyAlignment="1">
      <alignment horizontal="justify" vertical="top"/>
    </xf>
    <xf numFmtId="0" fontId="0" fillId="0" borderId="0" xfId="0" applyAlignment="1">
      <alignment vertical="top"/>
    </xf>
    <xf numFmtId="0" fontId="3" fillId="0" borderId="0" xfId="0" applyFont="1" applyAlignment="1">
      <alignment wrapText="1"/>
    </xf>
    <xf numFmtId="0" fontId="3" fillId="0" borderId="1" xfId="0" applyFont="1" applyBorder="1" applyAlignment="1">
      <alignment wrapText="1"/>
    </xf>
    <xf numFmtId="164" fontId="12" fillId="0" borderId="1" xfId="0" applyNumberFormat="1" applyFont="1" applyBorder="1"/>
    <xf numFmtId="164" fontId="12" fillId="0" borderId="0" xfId="0" applyNumberFormat="1" applyFont="1"/>
    <xf numFmtId="0" fontId="3" fillId="0" borderId="2" xfId="0" applyFont="1" applyBorder="1" applyAlignment="1">
      <alignment wrapText="1"/>
    </xf>
    <xf numFmtId="164" fontId="12" fillId="0" borderId="2" xfId="0" applyNumberFormat="1" applyFont="1" applyBorder="1"/>
    <xf numFmtId="164" fontId="12" fillId="0" borderId="1" xfId="0" quotePrefix="1" applyNumberFormat="1" applyFont="1" applyBorder="1" applyAlignment="1">
      <alignment horizontal="left"/>
    </xf>
    <xf numFmtId="164" fontId="12" fillId="0" borderId="0" xfId="0" applyNumberFormat="1" applyFont="1" applyAlignment="1">
      <alignment horizontal="left"/>
    </xf>
    <xf numFmtId="1" fontId="12" fillId="0" borderId="0" xfId="0" applyNumberFormat="1" applyFont="1" applyAlignment="1">
      <alignment horizontal="center"/>
    </xf>
    <xf numFmtId="164" fontId="12" fillId="0" borderId="1" xfId="0" applyNumberFormat="1" applyFont="1" applyBorder="1" applyAlignment="1">
      <alignment horizontal="left"/>
    </xf>
    <xf numFmtId="0" fontId="16" fillId="0" borderId="0" xfId="0" applyFont="1"/>
    <xf numFmtId="164" fontId="12" fillId="0" borderId="0" xfId="0" quotePrefix="1" applyNumberFormat="1" applyFont="1" applyAlignment="1">
      <alignment horizontal="left"/>
    </xf>
    <xf numFmtId="1" fontId="12" fillId="0" borderId="0" xfId="0" quotePrefix="1" applyNumberFormat="1" applyFont="1" applyAlignment="1">
      <alignment horizontal="center"/>
    </xf>
    <xf numFmtId="0" fontId="12" fillId="0" borderId="0" xfId="0" quotePrefix="1" applyFont="1" applyAlignment="1">
      <alignment horizontal="left"/>
    </xf>
    <xf numFmtId="0" fontId="12" fillId="0" borderId="0" xfId="0" applyFont="1" applyAlignment="1">
      <alignment horizontal="left"/>
    </xf>
    <xf numFmtId="0" fontId="12" fillId="0" borderId="0" xfId="0" applyFont="1" applyAlignment="1">
      <alignment vertical="center"/>
    </xf>
    <xf numFmtId="0" fontId="16" fillId="0" borderId="0" xfId="0" applyFont="1" applyAlignment="1">
      <alignment vertical="center"/>
    </xf>
    <xf numFmtId="0" fontId="16" fillId="0" borderId="0" xfId="0" applyFont="1" applyAlignment="1">
      <alignment horizontal="left"/>
    </xf>
    <xf numFmtId="164" fontId="12" fillId="0" borderId="1" xfId="2" quotePrefix="1" applyNumberFormat="1" applyFont="1" applyBorder="1" applyAlignment="1">
      <alignment horizontal="left"/>
    </xf>
    <xf numFmtId="165" fontId="12" fillId="0" borderId="0" xfId="0" quotePrefix="1" applyNumberFormat="1" applyFont="1" applyAlignment="1">
      <alignment horizontal="left"/>
    </xf>
    <xf numFmtId="164" fontId="12" fillId="0" borderId="1" xfId="0" applyNumberFormat="1" applyFont="1" applyBorder="1" applyAlignment="1">
      <alignment horizontal="left" vertical="center"/>
    </xf>
    <xf numFmtId="0" fontId="12" fillId="0" borderId="0" xfId="0" quotePrefix="1" applyFont="1" applyAlignment="1">
      <alignment horizontal="left" vertical="center"/>
    </xf>
    <xf numFmtId="1" fontId="12" fillId="0" borderId="0" xfId="0" quotePrefix="1" applyNumberFormat="1" applyFont="1" applyAlignment="1">
      <alignment horizontal="center" vertical="center"/>
    </xf>
    <xf numFmtId="164" fontId="16" fillId="0" borderId="1" xfId="0" quotePrefix="1" applyNumberFormat="1" applyFont="1" applyBorder="1" applyAlignment="1">
      <alignment horizontal="left" vertical="center"/>
    </xf>
    <xf numFmtId="164" fontId="12" fillId="0" borderId="0" xfId="0" applyNumberFormat="1" applyFont="1" applyAlignment="1">
      <alignment horizontal="left" vertical="center"/>
    </xf>
    <xf numFmtId="1" fontId="12" fillId="0" borderId="0" xfId="0" applyNumberFormat="1" applyFont="1" applyAlignment="1">
      <alignment horizontal="center" vertical="center"/>
    </xf>
    <xf numFmtId="164" fontId="12" fillId="0" borderId="1" xfId="0" quotePrefix="1" applyNumberFormat="1" applyFont="1" applyBorder="1" applyAlignment="1">
      <alignment horizontal="left" vertical="center"/>
    </xf>
    <xf numFmtId="164" fontId="12" fillId="0" borderId="0" xfId="0" quotePrefix="1" applyNumberFormat="1" applyFont="1" applyAlignment="1">
      <alignment horizontal="left" vertical="center"/>
    </xf>
    <xf numFmtId="0" fontId="15" fillId="0" borderId="2" xfId="1" applyFont="1" applyFill="1" applyBorder="1"/>
    <xf numFmtId="0" fontId="15" fillId="0" borderId="2" xfId="1" applyFont="1" applyBorder="1"/>
    <xf numFmtId="3" fontId="15" fillId="0" borderId="2" xfId="1" applyNumberFormat="1" applyFont="1" applyFill="1" applyBorder="1"/>
    <xf numFmtId="0" fontId="15" fillId="0" borderId="2" xfId="1" applyFont="1" applyFill="1" applyBorder="1" applyAlignment="1"/>
    <xf numFmtId="0" fontId="15" fillId="0" borderId="2" xfId="1" applyFont="1" applyBorder="1" applyAlignment="1"/>
    <xf numFmtId="0" fontId="15" fillId="0" borderId="2" xfId="1" applyFont="1" applyFill="1" applyBorder="1" applyAlignment="1">
      <alignment vertical="center"/>
    </xf>
    <xf numFmtId="0" fontId="15" fillId="0" borderId="2" xfId="1" applyFont="1" applyBorder="1" applyAlignment="1">
      <alignment vertical="center"/>
    </xf>
    <xf numFmtId="0" fontId="12" fillId="0" borderId="2" xfId="0" applyFont="1" applyBorder="1"/>
    <xf numFmtId="0" fontId="15" fillId="0" borderId="2" xfId="1" applyFont="1" applyBorder="1" applyAlignment="1">
      <alignment horizontal="center" vertical="center"/>
    </xf>
    <xf numFmtId="0" fontId="12" fillId="0" borderId="2" xfId="0" applyFont="1" applyBorder="1" applyAlignment="1">
      <alignment horizontal="center" vertical="center"/>
    </xf>
    <xf numFmtId="0" fontId="16" fillId="0" borderId="2" xfId="0" applyFont="1" applyBorder="1"/>
    <xf numFmtId="0" fontId="0" fillId="0" borderId="0" xfId="0" applyAlignment="1">
      <alignment horizontal="left" vertical="top" wrapText="1"/>
    </xf>
    <xf numFmtId="0" fontId="20" fillId="0" borderId="0" xfId="0" applyFont="1" applyAlignment="1">
      <alignment horizontal="left"/>
    </xf>
    <xf numFmtId="0" fontId="21" fillId="0" borderId="0" xfId="0" applyFont="1" applyAlignment="1">
      <alignment horizontal="left" wrapText="1"/>
    </xf>
    <xf numFmtId="0" fontId="11" fillId="3" borderId="0" xfId="0" applyFont="1" applyFill="1" applyAlignment="1">
      <alignment horizontal="center"/>
    </xf>
    <xf numFmtId="0" fontId="14" fillId="3" borderId="0" xfId="0" applyFont="1" applyFill="1" applyAlignment="1">
      <alignment horizontal="left" vertical="top" wrapText="1"/>
    </xf>
    <xf numFmtId="0" fontId="23" fillId="0" borderId="1" xfId="0" applyFont="1" applyBorder="1" applyAlignment="1">
      <alignment horizontal="center"/>
    </xf>
    <xf numFmtId="0" fontId="23" fillId="0" borderId="0" xfId="0" applyFont="1" applyAlignment="1">
      <alignment horizontal="center"/>
    </xf>
    <xf numFmtId="0" fontId="23" fillId="0" borderId="2"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E0A1"/>
      <color rgb="FFFFCC73"/>
      <color rgb="FFF0580C"/>
      <color rgb="FFE04C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or%20more%20information%20on%20the%20Framework,%20please%20visit%20this%20linked%20websi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x:/r/personal/amelia_stonkus_bcdc_ca_gov/_layouts/15/Doc.aspx%3fsourcedoc=%7b3430CBF8-D4D4-4513-BF12-A8E0E575720A%7d&amp;file=Hayward%20Cost%20Estimates_DRAFT_200421.xlsx&amp;action=default&amp;mobileredirect=true" TargetMode="External"/><Relationship Id="rId18" Type="http://schemas.openxmlformats.org/officeDocument/2006/relationships/hyperlink" Target="https://mtcdrive.box.com/s/1dtub4o56dzz1cwj2oibe1xbz8217xjz" TargetMode="External"/><Relationship Id="rId26" Type="http://schemas.openxmlformats.org/officeDocument/2006/relationships/hyperlink" Target="https://www.ecoatlas.org/regions/ecoregion/statewide/projects/5294" TargetMode="External"/><Relationship Id="rId39" Type="http://schemas.openxmlformats.org/officeDocument/2006/relationships/hyperlink" Target="https://www.marincounty.org/-/media/files/departments/cd/planning/slr/c-smart/2019/181211_csmart_adaptation_report_final_small.pdf?la=en" TargetMode="External"/><Relationship Id="rId21" Type="http://schemas.openxmlformats.org/officeDocument/2006/relationships/hyperlink" Target="https://www.nj.gov/dep/dsr/wetlands/beneficial-use-dredged-material-project-summary-lessons-learned.pdf" TargetMode="External"/><Relationship Id="rId34" Type="http://schemas.openxmlformats.org/officeDocument/2006/relationships/hyperlink" Target="https://www.marincounty.org/-/media/files/departments/cd/planning/slr/c-smart/2019/181211_csmart_adaptation_report_final_small.pdf?la=en" TargetMode="External"/><Relationship Id="rId42" Type="http://schemas.openxmlformats.org/officeDocument/2006/relationships/hyperlink" Target="https://www.portofoakland.com/files/PDF/environment/Airport_Public_Draft_IS_MND.pdf" TargetMode="External"/><Relationship Id="rId47" Type="http://schemas.openxmlformats.org/officeDocument/2006/relationships/hyperlink" Target="https://mtcdrive.box.com/s/1dtub4o56dzz1cwj2oibe1xbz8217xjz" TargetMode="External"/><Relationship Id="rId50" Type="http://schemas.openxmlformats.org/officeDocument/2006/relationships/hyperlink" Target="https://mtcdrive.box.com/s/1dtub4o56dzz1cwj2oibe1xbz8217xjz" TargetMode="External"/><Relationship Id="rId55" Type="http://schemas.openxmlformats.org/officeDocument/2006/relationships/hyperlink" Target="https://www.thespruce.com/costs-and-installation-tips-when-building-a-riprap-844741" TargetMode="External"/><Relationship Id="rId63" Type="http://schemas.openxmlformats.org/officeDocument/2006/relationships/hyperlink" Target="https://www.cityofepa.org/sites/default/files/fileattachments/public_works/page/4101/epa_allocation_methods_technical_memo_-_final_2019_02_28_201903051337056622.pdf" TargetMode="External"/><Relationship Id="rId7" Type="http://schemas.openxmlformats.org/officeDocument/2006/relationships/hyperlink" Target="https://www.marincounty.org/-/media/files/departments/cd/planning/slr/c-smart/stinsonnba_final_report.pdf?la=en" TargetMode="External"/><Relationship Id="rId2" Type="http://schemas.openxmlformats.org/officeDocument/2006/relationships/hyperlink" Target="https://www.ecoatlas.org/regions/ecoregion/statewide/projects/5340" TargetMode="External"/><Relationship Id="rId16" Type="http://schemas.openxmlformats.org/officeDocument/2006/relationships/hyperlink" Target="https://mtcdrive.box.com/s/1dtub4o56dzz1cwj2oibe1xbz8217xjz" TargetMode="External"/><Relationship Id="rId29" Type="http://schemas.openxmlformats.org/officeDocument/2006/relationships/hyperlink" Target="https://edepot.wur.nl/380818" TargetMode="External"/><Relationship Id="rId11" Type="http://schemas.openxmlformats.org/officeDocument/2006/relationships/hyperlink" Target="https://www.marincounty.org/-/media/files/departments/cd/planning/slr/c-smart/stinsonnba_final_report.pdf?la=en" TargetMode="External"/><Relationship Id="rId24" Type="http://schemas.openxmlformats.org/officeDocument/2006/relationships/hyperlink" Target="https://www.marincounty.org/-/media/files/departments/cd/planning/slr/c-smart/2019/181211_csmart_adaptation_report_final_small.pdf?la=en" TargetMode="External"/><Relationship Id="rId32" Type="http://schemas.openxmlformats.org/officeDocument/2006/relationships/hyperlink" Target="https://mtcdrive.box.com/s/1dtub4o56dzz1cwj2oibe1xbz8217xjz" TargetMode="External"/><Relationship Id="rId37" Type="http://schemas.openxmlformats.org/officeDocument/2006/relationships/hyperlink" Target="https://mtcdrive.box.com/s/1dtub4o56dzz1cwj2oibe1xbz8217xjz" TargetMode="External"/><Relationship Id="rId40" Type="http://schemas.openxmlformats.org/officeDocument/2006/relationships/hyperlink" Target="https://www.ci.millbrae.ca.us/home/showpublisheddocument/23203/637300819844270000" TargetMode="External"/><Relationship Id="rId45" Type="http://schemas.openxmlformats.org/officeDocument/2006/relationships/hyperlink" Target="https://www.ci.millbrae.ca.us/home/showpublisheddocument/23203/637300819844270000" TargetMode="External"/><Relationship Id="rId53" Type="http://schemas.openxmlformats.org/officeDocument/2006/relationships/hyperlink" Target="https://www.marincounty.org/-/media/files/departments/cd/planning/slr/c-smart/stinsonnba_final_report.pdf?la=en" TargetMode="External"/><Relationship Id="rId58" Type="http://schemas.openxmlformats.org/officeDocument/2006/relationships/hyperlink" Target="https://www.marincounty.org/-/media/files/departments/cd/planning/slr/c-smart/2019/181211_csmart_adaptation_report_final_small.pdf?la=en" TargetMode="External"/><Relationship Id="rId5" Type="http://schemas.openxmlformats.org/officeDocument/2006/relationships/hyperlink" Target="http://elkhornslough.org/tidalwetland/downloads/Elkhorn_Slough_Tidal_Marsh_Restoration_Plan.pdf" TargetMode="External"/><Relationship Id="rId61" Type="http://schemas.openxmlformats.org/officeDocument/2006/relationships/hyperlink" Target="https://mtcdrive.box.com/s/1dtub4o56dzz1cwj2oibe1xbz8217xjz" TargetMode="External"/><Relationship Id="rId19" Type="http://schemas.openxmlformats.org/officeDocument/2006/relationships/hyperlink" Target="https://www.ecoatlas.org/regions/waterboard/san-francisco-bay/projects/5705" TargetMode="External"/><Relationship Id="rId14" Type="http://schemas.openxmlformats.org/officeDocument/2006/relationships/hyperlink" Target="https://ecoatlas.org/regions/ecoregion/statewide/projects/5302" TargetMode="External"/><Relationship Id="rId22" Type="http://schemas.openxmlformats.org/officeDocument/2006/relationships/hyperlink" Target="http://www.edc.uri.edu/restoration/html/tech_sci/socio/costs.htm" TargetMode="External"/><Relationship Id="rId27" Type="http://schemas.openxmlformats.org/officeDocument/2006/relationships/hyperlink" Target="https://www.ecoatlas.org/regions/ecoregion/statewide/projects/5333" TargetMode="External"/><Relationship Id="rId30" Type="http://schemas.openxmlformats.org/officeDocument/2006/relationships/hyperlink" Target="https://www.marincounty.org/-/media/files/departments/cd/planning/slr/c-smart/2019/181211_csmart_adaptation_report_final_small.pdf?la=en" TargetMode="External"/><Relationship Id="rId35" Type="http://schemas.openxmlformats.org/officeDocument/2006/relationships/hyperlink" Target="http://files.mtc.ca.gov/pdf/MTC_ClmteChng_ExtrmWthr_Adtpn_Report_Final.pdf" TargetMode="External"/><Relationship Id="rId43" Type="http://schemas.openxmlformats.org/officeDocument/2006/relationships/hyperlink" Target="https://mtcdrive.box.com/s/n4tnddks2lpruif8051buknh4zh7rm0g" TargetMode="External"/><Relationship Id="rId48" Type="http://schemas.openxmlformats.org/officeDocument/2006/relationships/hyperlink" Target="https://mtcdrive.box.com/s/1dtub4o56dzz1cwj2oibe1xbz8217xjz" TargetMode="External"/><Relationship Id="rId56" Type="http://schemas.openxmlformats.org/officeDocument/2006/relationships/hyperlink" Target="https://www.millvalleylibrary.org/DocumentCenter/View/2258/Flood-Management-2021-Full-Report-PDF" TargetMode="External"/><Relationship Id="rId64" Type="http://schemas.openxmlformats.org/officeDocument/2006/relationships/printerSettings" Target="../printerSettings/printerSettings3.bin"/><Relationship Id="rId8" Type="http://schemas.openxmlformats.org/officeDocument/2006/relationships/hyperlink" Target="https://bcdc.ca.gov/sediment/CentralSFBayRSMPlan.pdf" TargetMode="External"/><Relationship Id="rId51" Type="http://schemas.openxmlformats.org/officeDocument/2006/relationships/hyperlink" Target="https://www.conservationgateway.org/ConservationPractices/Marine/crr/library/Documents/ED_SIT_DL_20_9_CV5%20Cost%20Effectiveness%20Final%20Report.pdf" TargetMode="External"/><Relationship Id="rId3" Type="http://schemas.openxmlformats.org/officeDocument/2006/relationships/hyperlink" Target="https://www.ecoatlas.org/regions/waterboard/san-francisco-bay/projects/5621" TargetMode="External"/><Relationship Id="rId12" Type="http://schemas.openxmlformats.org/officeDocument/2006/relationships/hyperlink" Target="https://esajournals.onlinelibrary.wiley.com/doi/full/10.1890/15-1077" TargetMode="External"/><Relationship Id="rId17" Type="http://schemas.openxmlformats.org/officeDocument/2006/relationships/hyperlink" Target="https://mtcdrive.box.com/s/1dtub4o56dzz1cwj2oibe1xbz8217xjz" TargetMode="External"/><Relationship Id="rId25" Type="http://schemas.openxmlformats.org/officeDocument/2006/relationships/hyperlink" Target="https://nerrssciencecollaborative.org/media/files/South%20Bay%20Salt%20Pond%20Feasibility%20Study_2002.pdf" TargetMode="External"/><Relationship Id="rId33" Type="http://schemas.openxmlformats.org/officeDocument/2006/relationships/hyperlink" Target="https://mtcdrive.box.com/s/1dtub4o56dzz1cwj2oibe1xbz8217xjz" TargetMode="External"/><Relationship Id="rId38" Type="http://schemas.openxmlformats.org/officeDocument/2006/relationships/hyperlink" Target="https://mtcdrive.box.com/s/1dtub4o56dzz1cwj2oibe1xbz8217xjz" TargetMode="External"/><Relationship Id="rId46" Type="http://schemas.openxmlformats.org/officeDocument/2006/relationships/hyperlink" Target="https://mtcdrive.box.com/s/1dtub4o56dzz1cwj2oibe1xbz8217xjz" TargetMode="External"/><Relationship Id="rId59" Type="http://schemas.openxmlformats.org/officeDocument/2006/relationships/hyperlink" Target="https://www.marincounty.org/-/media/files/departments/cd/planning/slr/c-smart/stinsonnba_final_report.pdf?la=en" TargetMode="External"/><Relationship Id="rId20" Type="http://schemas.openxmlformats.org/officeDocument/2006/relationships/hyperlink" Target="https://www.gcrc.uga.edu/wp-content/uploads/2019/10/Thin-Layer-Placement-Report-final3.pdf" TargetMode="External"/><Relationship Id="rId41" Type="http://schemas.openxmlformats.org/officeDocument/2006/relationships/hyperlink" Target="https://www.ecoatlas.org/regions/ecoregion/statewide/projects/10241" TargetMode="External"/><Relationship Id="rId54" Type="http://schemas.openxmlformats.org/officeDocument/2006/relationships/hyperlink" Target="https://mtcdrive.box.com/s/n4tnddks2lpruif8051buknh4zh7rm0g" TargetMode="External"/><Relationship Id="rId62" Type="http://schemas.openxmlformats.org/officeDocument/2006/relationships/hyperlink" Target="https://www.ci.millbrae.ca.us/home/showpublisheddocument/23203/637300819844270000" TargetMode="External"/><Relationship Id="rId1" Type="http://schemas.openxmlformats.org/officeDocument/2006/relationships/hyperlink" Target="https://www.ecoatlas.org/regions/ecoregion/statewide/projects/5320" TargetMode="External"/><Relationship Id="rId6" Type="http://schemas.openxmlformats.org/officeDocument/2006/relationships/hyperlink" Target="https://www.marincounty.org/-/media/files/departments/cd/planning/slr/c-smart/2019/181211_csmart_adaptation_report_final_small.pdf?la=en" TargetMode="External"/><Relationship Id="rId15" Type="http://schemas.openxmlformats.org/officeDocument/2006/relationships/hyperlink" Target="https://ecoatlas.org/regions/ecoregion/statewide/projects/5304" TargetMode="External"/><Relationship Id="rId23" Type="http://schemas.openxmlformats.org/officeDocument/2006/relationships/hyperlink" Target="https://esajournals.onlinelibrary.wiley.com/doi/full/10.1890/15-1077" TargetMode="External"/><Relationship Id="rId28" Type="http://schemas.openxmlformats.org/officeDocument/2006/relationships/hyperlink" Target="https://www.ecoatlas.org/regions/ecoregion/statewide/projects/5667" TargetMode="External"/><Relationship Id="rId36" Type="http://schemas.openxmlformats.org/officeDocument/2006/relationships/hyperlink" Target="https://mtcdrive.box.com/s/n4tnddks2lpruif8051buknh4zh7rm0g" TargetMode="External"/><Relationship Id="rId49" Type="http://schemas.openxmlformats.org/officeDocument/2006/relationships/hyperlink" Target="..\..\..\..\..\..\..\ameliastonkus\Downloads\Costs_of_Adapting_Coastal_Defences_to_Sea-Level_Ri.pdf" TargetMode="External"/><Relationship Id="rId57" Type="http://schemas.openxmlformats.org/officeDocument/2006/relationships/hyperlink" Target="https://www.marincounty.org/-/media/files/departments/cd/planning/slr/c-smart/2019/181211_csmart_adaptation_report_final_small.pdf?la=en" TargetMode="External"/><Relationship Id="rId10" Type="http://schemas.openxmlformats.org/officeDocument/2006/relationships/hyperlink" Target="https://www.marincounty.org/-/media/files/departments/cd/planning/slr/c-smart/2019/181211_csmart_adaptation_report_final_small.pdf?la=en" TargetMode="External"/><Relationship Id="rId31" Type="http://schemas.openxmlformats.org/officeDocument/2006/relationships/hyperlink" Target="https://mtcdrive.box.com/s/n4tnddks2lpruif8051buknh4zh7rm0g" TargetMode="External"/><Relationship Id="rId44" Type="http://schemas.openxmlformats.org/officeDocument/2006/relationships/hyperlink" Target="https://mtcdrive.box.com/s/1dtub4o56dzz1cwj2oibe1xbz8217xjz" TargetMode="External"/><Relationship Id="rId52" Type="http://schemas.openxmlformats.org/officeDocument/2006/relationships/hyperlink" Target="https://www.marincounty.org/-/media/files/departments/cd/planning/slr/c-smart/2019/181211_csmart_adaptation_report_final_small.pdf?la=en" TargetMode="External"/><Relationship Id="rId60" Type="http://schemas.openxmlformats.org/officeDocument/2006/relationships/hyperlink" Target="https://mtcdrive.box.com/s/1dtub4o56dzz1cwj2oibe1xbz8217xjz" TargetMode="External"/><Relationship Id="rId4" Type="http://schemas.openxmlformats.org/officeDocument/2006/relationships/hyperlink" Target="https://www.baylandinc.com/wheel-creek-watershed-assessment-stream-restoration-stormwater-management" TargetMode="External"/><Relationship Id="rId9" Type="http://schemas.openxmlformats.org/officeDocument/2006/relationships/hyperlink" Target="https://ecoatlas.org/regions/ecoregion/statewide/projects/9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0A482-EB39-6048-821D-5D9538513E42}">
  <dimension ref="A1:M33"/>
  <sheetViews>
    <sheetView tabSelected="1" zoomScale="80" zoomScaleNormal="80" workbookViewId="0">
      <selection activeCell="B17" sqref="B17:M17"/>
    </sheetView>
  </sheetViews>
  <sheetFormatPr defaultColWidth="0" defaultRowHeight="15" zeroHeight="1"/>
  <cols>
    <col min="1" max="1" width="8.85546875" customWidth="1"/>
    <col min="2" max="2" width="27.42578125" customWidth="1"/>
    <col min="3" max="13" width="8.85546875" customWidth="1"/>
    <col min="14" max="16384" width="8.85546875" hidden="1"/>
  </cols>
  <sheetData>
    <row r="1" spans="1:13"/>
    <row r="2" spans="1:13" ht="27.75">
      <c r="A2" s="3"/>
      <c r="B2" s="77" t="s">
        <v>141</v>
      </c>
      <c r="C2" s="77"/>
      <c r="D2" s="77"/>
      <c r="E2" s="77"/>
      <c r="F2" s="77"/>
      <c r="G2" s="77"/>
      <c r="H2" s="77"/>
      <c r="I2" s="77"/>
      <c r="J2" s="77"/>
      <c r="K2" s="77"/>
      <c r="L2" s="77"/>
      <c r="M2" s="77"/>
    </row>
    <row r="3" spans="1:13" ht="33" customHeight="1">
      <c r="A3" s="3"/>
      <c r="B3" s="78" t="s">
        <v>288</v>
      </c>
      <c r="C3" s="78"/>
      <c r="D3" s="78"/>
      <c r="E3" s="78"/>
      <c r="F3" s="78"/>
      <c r="G3" s="78"/>
      <c r="H3" s="78"/>
      <c r="I3" s="78"/>
      <c r="J3" s="78"/>
      <c r="K3" s="78"/>
      <c r="L3" s="78"/>
      <c r="M3" s="78"/>
    </row>
    <row r="4" spans="1:13">
      <c r="A4" s="4"/>
      <c r="B4" s="28" t="s">
        <v>217</v>
      </c>
    </row>
    <row r="5" spans="1:13"/>
    <row r="6" spans="1:13" ht="21">
      <c r="B6" s="29" t="s">
        <v>218</v>
      </c>
      <c r="C6" s="12"/>
      <c r="D6" s="12"/>
      <c r="E6" s="12"/>
      <c r="F6" s="12"/>
      <c r="G6" s="12"/>
      <c r="H6" s="12"/>
      <c r="I6" s="12"/>
      <c r="J6" s="12"/>
      <c r="K6" s="12"/>
      <c r="L6" s="12"/>
      <c r="M6" s="12"/>
    </row>
    <row r="7" spans="1:13"/>
    <row r="8" spans="1:13" ht="111.75" customHeight="1">
      <c r="B8" s="76" t="s">
        <v>219</v>
      </c>
      <c r="C8" s="76"/>
      <c r="D8" s="76"/>
      <c r="E8" s="76"/>
      <c r="F8" s="76"/>
      <c r="G8" s="76"/>
      <c r="H8" s="76"/>
      <c r="I8" s="76"/>
      <c r="J8" s="76"/>
      <c r="K8" s="76"/>
      <c r="L8" s="76"/>
      <c r="M8" s="76"/>
    </row>
    <row r="9" spans="1:13">
      <c r="B9" s="11" t="s">
        <v>220</v>
      </c>
    </row>
    <row r="10" spans="1:13"/>
    <row r="11" spans="1:13" ht="21">
      <c r="B11" s="29" t="s">
        <v>221</v>
      </c>
      <c r="C11" s="12"/>
      <c r="D11" s="12"/>
      <c r="E11" s="12"/>
      <c r="F11" s="12"/>
      <c r="G11" s="12"/>
      <c r="H11" s="12"/>
      <c r="I11" s="12"/>
      <c r="J11" s="12"/>
      <c r="K11" s="12"/>
      <c r="L11" s="12"/>
      <c r="M11" s="12"/>
    </row>
    <row r="12" spans="1:13"/>
    <row r="13" spans="1:13" ht="104.25" customHeight="1">
      <c r="B13" s="76" t="s">
        <v>279</v>
      </c>
      <c r="C13" s="76"/>
      <c r="D13" s="76"/>
      <c r="E13" s="76"/>
      <c r="F13" s="76"/>
      <c r="G13" s="76"/>
      <c r="H13" s="76"/>
      <c r="I13" s="76"/>
      <c r="J13" s="76"/>
      <c r="K13" s="76"/>
      <c r="L13" s="76"/>
      <c r="M13" s="76"/>
    </row>
    <row r="14" spans="1:13"/>
    <row r="15" spans="1:13" ht="21">
      <c r="A15" s="5"/>
      <c r="B15" s="29" t="s">
        <v>140</v>
      </c>
      <c r="C15" s="12"/>
      <c r="D15" s="12"/>
      <c r="E15" s="12"/>
      <c r="F15" s="12"/>
      <c r="G15" s="12"/>
      <c r="H15" s="12"/>
      <c r="I15" s="12"/>
      <c r="J15" s="12"/>
      <c r="K15" s="12"/>
      <c r="L15" s="12"/>
      <c r="M15" s="12"/>
    </row>
    <row r="16" spans="1:13" ht="18.75">
      <c r="A16" s="5"/>
      <c r="B16" s="5"/>
    </row>
    <row r="17" spans="1:13" ht="53.25" customHeight="1">
      <c r="B17" s="76" t="s">
        <v>290</v>
      </c>
      <c r="C17" s="76"/>
      <c r="D17" s="76"/>
      <c r="E17" s="76"/>
      <c r="F17" s="76"/>
      <c r="G17" s="76"/>
      <c r="H17" s="76"/>
      <c r="I17" s="76"/>
      <c r="J17" s="76"/>
      <c r="K17" s="76"/>
      <c r="L17" s="76"/>
      <c r="M17" s="76"/>
    </row>
    <row r="18" spans="1:13"/>
    <row r="19" spans="1:13" ht="21">
      <c r="B19" s="29" t="s">
        <v>126</v>
      </c>
      <c r="C19" s="12"/>
      <c r="D19" s="12"/>
      <c r="E19" s="12"/>
      <c r="F19" s="12"/>
      <c r="G19" s="12"/>
      <c r="H19" s="12"/>
      <c r="I19" s="12"/>
      <c r="J19" s="12"/>
      <c r="K19" s="12"/>
      <c r="L19" s="12"/>
      <c r="M19" s="12"/>
    </row>
    <row r="20" spans="1:13"/>
    <row r="21" spans="1:13" ht="44.25" customHeight="1">
      <c r="B21" s="33" t="s">
        <v>278</v>
      </c>
      <c r="C21" s="76" t="s">
        <v>289</v>
      </c>
      <c r="D21" s="76"/>
      <c r="E21" s="76"/>
      <c r="F21" s="76"/>
      <c r="G21" s="76"/>
      <c r="H21" s="76"/>
      <c r="I21" s="76"/>
      <c r="J21" s="76"/>
      <c r="K21" s="76"/>
      <c r="L21" s="76"/>
      <c r="M21" s="76"/>
    </row>
    <row r="22" spans="1:13" ht="39.75" customHeight="1">
      <c r="B22" s="34" t="s">
        <v>281</v>
      </c>
      <c r="C22" s="36" t="s">
        <v>284</v>
      </c>
    </row>
    <row r="23" spans="1:13" ht="48.75" customHeight="1"/>
    <row r="24" spans="1:13" ht="42">
      <c r="B24" s="35" t="s">
        <v>285</v>
      </c>
      <c r="C24" s="29"/>
      <c r="D24" s="29"/>
      <c r="E24" s="29"/>
      <c r="F24" s="29"/>
      <c r="G24" s="29"/>
      <c r="H24" s="29"/>
      <c r="I24" s="29"/>
      <c r="J24" s="29"/>
      <c r="K24" s="29"/>
      <c r="L24" s="29"/>
      <c r="M24" s="29"/>
    </row>
    <row r="25" spans="1:13">
      <c r="B25" s="2"/>
    </row>
    <row r="26" spans="1:13" ht="72" customHeight="1">
      <c r="B26" s="76" t="s">
        <v>287</v>
      </c>
      <c r="C26" s="76"/>
      <c r="D26" s="76"/>
      <c r="E26" s="76"/>
      <c r="F26" s="76"/>
      <c r="G26" s="76"/>
      <c r="H26" s="76"/>
      <c r="I26" s="76"/>
      <c r="J26" s="76"/>
      <c r="K26" s="76"/>
      <c r="L26" s="76"/>
      <c r="M26" s="76"/>
    </row>
    <row r="27" spans="1:13">
      <c r="B27" s="2"/>
    </row>
    <row r="28" spans="1:13" ht="52.5" customHeight="1">
      <c r="B28" s="76" t="s">
        <v>286</v>
      </c>
      <c r="C28" s="76"/>
      <c r="D28" s="76"/>
      <c r="E28" s="76"/>
      <c r="F28" s="76"/>
      <c r="G28" s="76"/>
      <c r="H28" s="76"/>
      <c r="I28" s="76"/>
      <c r="J28" s="76"/>
      <c r="K28" s="76"/>
      <c r="L28" s="76"/>
      <c r="M28" s="76"/>
    </row>
    <row r="29" spans="1:13" ht="18">
      <c r="A29" s="6"/>
    </row>
    <row r="30" spans="1:13">
      <c r="B30" s="2"/>
    </row>
    <row r="31" spans="1:13" ht="42">
      <c r="B31" s="7" t="s">
        <v>197</v>
      </c>
    </row>
    <row r="32" spans="1:13">
      <c r="B32" t="s">
        <v>196</v>
      </c>
    </row>
    <row r="33" spans="2:2" ht="45">
      <c r="B33" s="2" t="s">
        <v>128</v>
      </c>
    </row>
  </sheetData>
  <mergeCells count="8">
    <mergeCell ref="C21:M21"/>
    <mergeCell ref="B26:M26"/>
    <mergeCell ref="B28:M28"/>
    <mergeCell ref="B2:M2"/>
    <mergeCell ref="B3:M3"/>
    <mergeCell ref="B8:M8"/>
    <mergeCell ref="B13:M13"/>
    <mergeCell ref="B17:M17"/>
  </mergeCells>
  <hyperlinks>
    <hyperlink ref="B9" r:id="rId1" xr:uid="{9D9499B6-50D2-4963-9372-FF0CC44EB20D}"/>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3143-F632-4643-9AD7-61C69BC02B0D}">
  <sheetPr>
    <tabColor theme="9"/>
  </sheetPr>
  <dimension ref="A1:AU75"/>
  <sheetViews>
    <sheetView zoomScaleNormal="100" workbookViewId="0">
      <pane ySplit="4" topLeftCell="A5" activePane="bottomLeft" state="frozen"/>
      <selection pane="bottomLeft" activeCell="C15" sqref="C15"/>
    </sheetView>
  </sheetViews>
  <sheetFormatPr defaultColWidth="9.140625" defaultRowHeight="15"/>
  <cols>
    <col min="1" max="1" width="39.140625" customWidth="1"/>
    <col min="2" max="2" width="35.5703125" bestFit="1" customWidth="1"/>
    <col min="3" max="5" width="15.5703125" style="1" bestFit="1" customWidth="1"/>
    <col min="6" max="6" width="12.28515625" style="9" customWidth="1"/>
    <col min="7" max="7" width="40.42578125" customWidth="1"/>
  </cols>
  <sheetData>
    <row r="1" spans="1:47" ht="21">
      <c r="A1" s="29" t="s">
        <v>280</v>
      </c>
      <c r="B1" s="12"/>
      <c r="C1" s="30"/>
      <c r="D1" s="30"/>
      <c r="E1" s="30"/>
      <c r="F1" s="31"/>
      <c r="G1" s="12"/>
    </row>
    <row r="2" spans="1:47" ht="62.25" customHeight="1">
      <c r="A2" s="80" t="s">
        <v>283</v>
      </c>
      <c r="B2" s="80"/>
      <c r="C2" s="80"/>
      <c r="D2" s="80"/>
      <c r="E2" s="80"/>
      <c r="F2" s="80"/>
      <c r="G2" s="80"/>
    </row>
    <row r="3" spans="1:47" s="8" customFormat="1">
      <c r="A3" s="79" t="s">
        <v>142</v>
      </c>
      <c r="B3" s="79"/>
      <c r="C3" s="79" t="s">
        <v>193</v>
      </c>
      <c r="D3" s="79"/>
      <c r="E3" s="79"/>
      <c r="F3" s="32"/>
      <c r="G3" s="12"/>
      <c r="H3"/>
      <c r="I3"/>
      <c r="J3"/>
      <c r="K3"/>
      <c r="L3"/>
      <c r="M3"/>
      <c r="N3"/>
      <c r="O3"/>
      <c r="P3"/>
      <c r="Q3"/>
      <c r="R3"/>
      <c r="S3"/>
      <c r="T3"/>
      <c r="U3"/>
      <c r="V3"/>
      <c r="W3"/>
      <c r="X3"/>
      <c r="Y3"/>
      <c r="Z3"/>
      <c r="AA3"/>
      <c r="AB3"/>
      <c r="AC3"/>
      <c r="AD3"/>
      <c r="AE3"/>
      <c r="AF3"/>
      <c r="AG3"/>
      <c r="AH3"/>
      <c r="AI3"/>
      <c r="AJ3"/>
      <c r="AK3"/>
      <c r="AL3"/>
      <c r="AM3"/>
      <c r="AN3"/>
      <c r="AO3"/>
      <c r="AP3"/>
      <c r="AQ3"/>
      <c r="AR3"/>
      <c r="AS3"/>
      <c r="AT3"/>
      <c r="AU3"/>
    </row>
    <row r="4" spans="1:47" s="10" customFormat="1" ht="20.45" customHeight="1">
      <c r="A4" s="27" t="s">
        <v>1</v>
      </c>
      <c r="B4" s="27" t="s">
        <v>2</v>
      </c>
      <c r="C4" s="26" t="s">
        <v>3</v>
      </c>
      <c r="D4" s="26" t="s">
        <v>4</v>
      </c>
      <c r="E4" s="26" t="s">
        <v>5</v>
      </c>
      <c r="F4" s="24" t="s">
        <v>6</v>
      </c>
      <c r="G4" s="25" t="s">
        <v>211</v>
      </c>
    </row>
    <row r="5" spans="1:47">
      <c r="A5" t="s">
        <v>16</v>
      </c>
      <c r="B5" t="s">
        <v>9</v>
      </c>
      <c r="C5" s="20">
        <f>'Archetype Details'!H23</f>
        <v>41947.341855999999</v>
      </c>
      <c r="D5" s="20">
        <f>'Archetype Details'!I23</f>
        <v>41947.341855999999</v>
      </c>
      <c r="E5" s="20">
        <f>'Archetype Details'!J23</f>
        <v>41947.341855999999</v>
      </c>
      <c r="F5" t="s">
        <v>10</v>
      </c>
      <c r="G5" t="s">
        <v>94</v>
      </c>
    </row>
    <row r="6" spans="1:47">
      <c r="A6" t="s">
        <v>16</v>
      </c>
      <c r="B6" t="s">
        <v>11</v>
      </c>
      <c r="C6" s="20">
        <f>'Archetype Details'!H23</f>
        <v>41947.341855999999</v>
      </c>
      <c r="D6" s="20">
        <f>'Archetype Details'!I23</f>
        <v>41947.341855999999</v>
      </c>
      <c r="E6" s="20">
        <f>'Archetype Details'!J23</f>
        <v>41947.341855999999</v>
      </c>
      <c r="F6" t="s">
        <v>10</v>
      </c>
      <c r="G6" t="s">
        <v>94</v>
      </c>
    </row>
    <row r="7" spans="1:47">
      <c r="A7" t="s">
        <v>16</v>
      </c>
      <c r="B7" t="s">
        <v>14</v>
      </c>
      <c r="C7" s="20">
        <f>'Archetype Details'!H23</f>
        <v>41947.341855999999</v>
      </c>
      <c r="D7" s="20">
        <f>'Archetype Details'!I23</f>
        <v>41947.341855999999</v>
      </c>
      <c r="E7" s="20">
        <f>'Archetype Details'!J23</f>
        <v>41947.341855999999</v>
      </c>
      <c r="F7" t="s">
        <v>10</v>
      </c>
      <c r="G7" t="s">
        <v>94</v>
      </c>
    </row>
    <row r="8" spans="1:47">
      <c r="A8" t="s">
        <v>68</v>
      </c>
      <c r="B8" s="1" t="s">
        <v>69</v>
      </c>
      <c r="C8" s="20">
        <f>AVERAGE('Archetype Details'!H28:H29)</f>
        <v>8253.2217358969046</v>
      </c>
      <c r="D8" s="20">
        <f>AVERAGE('Archetype Details'!I28:I29)</f>
        <v>12140.183611514123</v>
      </c>
      <c r="E8" s="20">
        <f>AVERAGE('Archetype Details'!J28:J29)</f>
        <v>16447.007473695758</v>
      </c>
      <c r="F8" t="s">
        <v>22</v>
      </c>
      <c r="G8" t="s">
        <v>209</v>
      </c>
    </row>
    <row r="9" spans="1:47">
      <c r="A9" t="s">
        <v>28</v>
      </c>
      <c r="B9" t="s">
        <v>18</v>
      </c>
      <c r="C9" s="22">
        <f>'Archetype Details'!H71</f>
        <v>106.10087660477193</v>
      </c>
      <c r="D9" s="22">
        <f>'Archetype Details'!I71</f>
        <v>212.20175320954385</v>
      </c>
      <c r="E9" s="22">
        <f>'Archetype Details'!J71</f>
        <v>424.40350641908771</v>
      </c>
      <c r="F9" t="s">
        <v>22</v>
      </c>
      <c r="G9" t="s">
        <v>28</v>
      </c>
    </row>
    <row r="10" spans="1:47">
      <c r="A10" s="21" t="s">
        <v>159</v>
      </c>
      <c r="B10" t="s">
        <v>9</v>
      </c>
      <c r="C10" s="20">
        <f>AVERAGE('Archetype Details'!H30:H35)</f>
        <v>20371.785283184399</v>
      </c>
      <c r="D10" s="20">
        <f>AVERAGE('Archetype Details'!I30:I35)</f>
        <v>24846.543643210822</v>
      </c>
      <c r="E10" s="20">
        <f>AVERAGE('Archetype Details'!J30:J35)</f>
        <v>55907.481735309972</v>
      </c>
      <c r="F10" t="s">
        <v>10</v>
      </c>
      <c r="G10" t="s">
        <v>214</v>
      </c>
    </row>
    <row r="11" spans="1:47">
      <c r="A11" t="s">
        <v>25</v>
      </c>
      <c r="B11" t="s">
        <v>160</v>
      </c>
      <c r="C11" s="20">
        <f>AVERAGE('Archetype Details'!H41:H48)</f>
        <v>13085.634606499218</v>
      </c>
      <c r="D11" s="20">
        <f>AVERAGE('Archetype Details'!I41:I48)</f>
        <v>17582.565585809414</v>
      </c>
      <c r="E11" s="20">
        <f>AVERAGE('Archetype Details'!J41:J48)</f>
        <v>22987.898797430513</v>
      </c>
      <c r="F11" t="s">
        <v>22</v>
      </c>
      <c r="G11" t="s">
        <v>93</v>
      </c>
    </row>
    <row r="12" spans="1:47">
      <c r="A12" t="s">
        <v>25</v>
      </c>
      <c r="B12" t="s">
        <v>18</v>
      </c>
      <c r="C12" s="20">
        <f>AVERAGE('Archetype Details'!H41:H48)</f>
        <v>13085.634606499218</v>
      </c>
      <c r="D12" s="20">
        <f>AVERAGE('Archetype Details'!I41:I48)</f>
        <v>17582.565585809414</v>
      </c>
      <c r="E12" s="20">
        <f>AVERAGE('Archetype Details'!J41:J48)</f>
        <v>22987.898797430513</v>
      </c>
      <c r="F12" t="s">
        <v>22</v>
      </c>
      <c r="G12" t="s">
        <v>93</v>
      </c>
    </row>
    <row r="13" spans="1:47">
      <c r="A13" t="s">
        <v>19</v>
      </c>
      <c r="B13" t="s">
        <v>21</v>
      </c>
      <c r="C13" s="20">
        <f>AVERAGE('Archetype Details'!H24:H25)</f>
        <v>39265.974686874004</v>
      </c>
      <c r="D13" s="20">
        <f>AVERAGE('Archetype Details'!I24:I25)</f>
        <v>190576.10464175147</v>
      </c>
      <c r="E13" s="20">
        <f>AVERAGE('Archetype Details'!J24:J25)</f>
        <v>341886.23459662899</v>
      </c>
      <c r="F13" t="s">
        <v>10</v>
      </c>
      <c r="G13" t="s">
        <v>99</v>
      </c>
    </row>
    <row r="14" spans="1:47">
      <c r="A14" t="s">
        <v>19</v>
      </c>
      <c r="B14" t="s">
        <v>26</v>
      </c>
      <c r="C14" s="20">
        <f>AVERAGE('Archetype Details'!H26:H27)</f>
        <v>66959.982092632694</v>
      </c>
      <c r="D14" s="20">
        <f>AVERAGE('Archetype Details'!I26:I27)</f>
        <v>188558.19944962667</v>
      </c>
      <c r="E14" s="20">
        <f>AVERAGE('Archetype Details'!J26:J27)</f>
        <v>310156.41680662066</v>
      </c>
      <c r="F14" t="s">
        <v>10</v>
      </c>
      <c r="G14" t="s">
        <v>208</v>
      </c>
    </row>
    <row r="15" spans="1:47">
      <c r="A15" t="s">
        <v>19</v>
      </c>
      <c r="B15" t="s">
        <v>15</v>
      </c>
      <c r="C15" s="22">
        <f>'Archetype Details'!H9</f>
        <v>13488.596</v>
      </c>
      <c r="D15" s="22">
        <f>'Archetype Details'!I9</f>
        <v>25891.200000000001</v>
      </c>
      <c r="E15" s="22">
        <f>'Archetype Details'!J9</f>
        <v>40275.199999999997</v>
      </c>
      <c r="F15" t="s">
        <v>10</v>
      </c>
      <c r="G15" t="s">
        <v>206</v>
      </c>
    </row>
    <row r="16" spans="1:47">
      <c r="A16" t="s">
        <v>24</v>
      </c>
      <c r="B16" t="s">
        <v>18</v>
      </c>
      <c r="C16" s="22">
        <f>'Archetype Details'!H82</f>
        <v>16815</v>
      </c>
      <c r="D16" s="22">
        <f>'Archetype Details'!I82</f>
        <v>33630</v>
      </c>
      <c r="E16" s="22">
        <f>'Archetype Details'!J82</f>
        <v>67260</v>
      </c>
      <c r="F16" t="s">
        <v>62</v>
      </c>
      <c r="G16" t="s">
        <v>100</v>
      </c>
    </row>
    <row r="17" spans="1:7">
      <c r="A17" t="s">
        <v>60</v>
      </c>
      <c r="B17" s="21" t="s">
        <v>158</v>
      </c>
      <c r="C17" s="20">
        <f>'Archetype Details'!H79</f>
        <v>43314.856355833334</v>
      </c>
      <c r="D17" s="20">
        <f>'Archetype Details'!I79</f>
        <v>83142.3529090909</v>
      </c>
      <c r="E17" s="20">
        <f>'Archetype Details'!J79</f>
        <v>129332.54896969696</v>
      </c>
      <c r="F17" t="s">
        <v>22</v>
      </c>
      <c r="G17" t="s">
        <v>100</v>
      </c>
    </row>
    <row r="18" spans="1:7">
      <c r="A18" t="s">
        <v>61</v>
      </c>
      <c r="B18" s="21" t="s">
        <v>158</v>
      </c>
      <c r="C18" s="20">
        <f>'Archetype Details'!H80</f>
        <v>79264.853853854176</v>
      </c>
      <c r="D18" s="20">
        <f>'Archetype Details'!I80</f>
        <v>152147.94661363636</v>
      </c>
      <c r="E18" s="20">
        <f>'Archetype Details'!J80</f>
        <v>236674.58362121214</v>
      </c>
      <c r="F18" t="s">
        <v>22</v>
      </c>
      <c r="G18" t="s">
        <v>100</v>
      </c>
    </row>
    <row r="19" spans="1:7">
      <c r="A19" t="s">
        <v>216</v>
      </c>
      <c r="B19" s="21" t="s">
        <v>158</v>
      </c>
      <c r="C19" s="20">
        <f>'Archetype Details'!H81</f>
        <v>121377.46327552083</v>
      </c>
      <c r="D19" s="20">
        <f>'Archetype Details'!I81</f>
        <v>232982.60079545455</v>
      </c>
      <c r="E19" s="20">
        <f>'Archetype Details'!J81</f>
        <v>362417.37901515147</v>
      </c>
      <c r="F19" t="s">
        <v>22</v>
      </c>
      <c r="G19" t="s">
        <v>100</v>
      </c>
    </row>
    <row r="20" spans="1:7">
      <c r="A20" t="s">
        <v>20</v>
      </c>
      <c r="B20" t="s">
        <v>18</v>
      </c>
      <c r="C20" s="20">
        <f>AVERAGE('Archetype Details'!H72:H78)</f>
        <v>8794.9185433922266</v>
      </c>
      <c r="D20" s="20">
        <f>AVERAGE('Archetype Details'!I72:I78)</f>
        <v>17695.77874436021</v>
      </c>
      <c r="E20" s="20">
        <f>AVERAGE('Archetype Details'!J72:J78)</f>
        <v>34519.299480062407</v>
      </c>
      <c r="F20" t="s">
        <v>22</v>
      </c>
      <c r="G20" t="s">
        <v>102</v>
      </c>
    </row>
    <row r="21" spans="1:7">
      <c r="A21" t="s">
        <v>87</v>
      </c>
      <c r="B21" s="21" t="s">
        <v>158</v>
      </c>
      <c r="C21" s="20">
        <f>AVERAGE('Archetype Details'!H59:H62)</f>
        <v>1793.5537263162878</v>
      </c>
      <c r="D21" s="20">
        <f>AVERAGE('Archetype Details'!I59:I62)</f>
        <v>3289.5531988636367</v>
      </c>
      <c r="E21" s="20">
        <f>AVERAGE('Archetype Details'!J59:J62)</f>
        <v>4995.3853106060606</v>
      </c>
      <c r="F21" t="s">
        <v>22</v>
      </c>
      <c r="G21" t="s">
        <v>104</v>
      </c>
    </row>
    <row r="22" spans="1:7">
      <c r="A22" t="s">
        <v>87</v>
      </c>
      <c r="B22" t="s">
        <v>18</v>
      </c>
      <c r="C22" s="20">
        <f>AVERAGE('Archetype Details'!H49:H58)</f>
        <v>3281.7742331294639</v>
      </c>
      <c r="D22" s="20">
        <f>AVERAGE('Archetype Details'!I49:I58)</f>
        <v>6292.755457727153</v>
      </c>
      <c r="E22" s="20">
        <f>AVERAGE('Archetype Details'!J49:J58)</f>
        <v>11192.75415013444</v>
      </c>
      <c r="F22" t="s">
        <v>22</v>
      </c>
      <c r="G22" t="s">
        <v>87</v>
      </c>
    </row>
    <row r="23" spans="1:7">
      <c r="A23" t="s">
        <v>17</v>
      </c>
      <c r="B23" t="s">
        <v>9</v>
      </c>
      <c r="C23" s="20">
        <f>AVERAGE('Archetype Details'!H16:H22)</f>
        <v>36450.884775532671</v>
      </c>
      <c r="D23" s="20">
        <f>AVERAGE('Archetype Details'!I16:I22)</f>
        <v>43328.021169257721</v>
      </c>
      <c r="E23" s="20">
        <f>AVERAGE('Archetype Details'!J16:J22)</f>
        <v>49518.443277268489</v>
      </c>
      <c r="F23" t="str">
        <f>F39</f>
        <v>$/LF</v>
      </c>
      <c r="G23" t="s">
        <v>98</v>
      </c>
    </row>
    <row r="24" spans="1:7">
      <c r="A24" t="s">
        <v>17</v>
      </c>
      <c r="B24" t="s">
        <v>11</v>
      </c>
      <c r="C24" s="20">
        <f>AVERAGE('Archetype Details'!H5:H8)</f>
        <v>1175148.2999398268</v>
      </c>
      <c r="D24" s="20">
        <f>AVERAGE('Archetype Details'!I5:I8)</f>
        <v>1175148.2999398268</v>
      </c>
      <c r="E24" s="20">
        <f>AVERAGE('Archetype Details'!J5:J8)</f>
        <v>1175148.2999398268</v>
      </c>
      <c r="F24" t="s">
        <v>10</v>
      </c>
      <c r="G24" t="s">
        <v>97</v>
      </c>
    </row>
    <row r="25" spans="1:7">
      <c r="A25" t="s">
        <v>17</v>
      </c>
      <c r="B25" t="s">
        <v>13</v>
      </c>
      <c r="C25" s="22">
        <f>'Archetype Details'!H10</f>
        <v>295000</v>
      </c>
      <c r="D25" s="22">
        <f>'Archetype Details'!I10</f>
        <v>590000</v>
      </c>
      <c r="E25" s="22">
        <f>'Archetype Details'!J10</f>
        <v>1180000</v>
      </c>
      <c r="F25" t="s">
        <v>10</v>
      </c>
      <c r="G25" t="s">
        <v>96</v>
      </c>
    </row>
    <row r="26" spans="1:7">
      <c r="A26" t="s">
        <v>8</v>
      </c>
      <c r="B26" t="s">
        <v>9</v>
      </c>
      <c r="C26" s="20">
        <f>AVERAGE('Archetype Details'!H16:H22)</f>
        <v>36450.884775532671</v>
      </c>
      <c r="D26" s="20">
        <f>AVERAGE('Archetype Details'!I16:I22)</f>
        <v>43328.021169257721</v>
      </c>
      <c r="E26" s="20">
        <f>AVERAGE('Archetype Details'!J16:J22)</f>
        <v>49518.443277268489</v>
      </c>
      <c r="F26" t="s">
        <v>10</v>
      </c>
      <c r="G26" t="s">
        <v>98</v>
      </c>
    </row>
    <row r="27" spans="1:7">
      <c r="A27" t="s">
        <v>8</v>
      </c>
      <c r="B27" t="s">
        <v>13</v>
      </c>
      <c r="C27" s="22">
        <f>'Archetype Details'!H10</f>
        <v>295000</v>
      </c>
      <c r="D27" s="22">
        <f>'Archetype Details'!I10</f>
        <v>590000</v>
      </c>
      <c r="E27" s="22">
        <f>'Archetype Details'!J10</f>
        <v>1180000</v>
      </c>
      <c r="F27" t="s">
        <v>10</v>
      </c>
      <c r="G27" t="s">
        <v>96</v>
      </c>
    </row>
    <row r="28" spans="1:7">
      <c r="A28" t="s">
        <v>8</v>
      </c>
      <c r="B28" t="s">
        <v>15</v>
      </c>
      <c r="C28" s="22">
        <f>'Archetype Details'!H9</f>
        <v>13488.596</v>
      </c>
      <c r="D28" s="22">
        <f>'Archetype Details'!I9</f>
        <v>25891.200000000001</v>
      </c>
      <c r="E28" s="22">
        <f>'Archetype Details'!J9</f>
        <v>40275.199999999997</v>
      </c>
      <c r="F28" t="s">
        <v>10</v>
      </c>
      <c r="G28" t="s">
        <v>206</v>
      </c>
    </row>
    <row r="29" spans="1:7">
      <c r="A29" t="s">
        <v>8</v>
      </c>
      <c r="B29" t="s">
        <v>11</v>
      </c>
      <c r="C29" s="20">
        <f>AVERAGE('Archetype Details'!H5:H8)</f>
        <v>1175148.2999398268</v>
      </c>
      <c r="D29" s="20">
        <f>AVERAGE('Archetype Details'!I5:I8)</f>
        <v>1175148.2999398268</v>
      </c>
      <c r="E29" s="20">
        <f>AVERAGE('Archetype Details'!J5:J8)</f>
        <v>1175148.2999398268</v>
      </c>
      <c r="F29" t="s">
        <v>10</v>
      </c>
      <c r="G29" t="s">
        <v>97</v>
      </c>
    </row>
    <row r="30" spans="1:7">
      <c r="A30" t="s">
        <v>8</v>
      </c>
      <c r="B30" t="s">
        <v>21</v>
      </c>
      <c r="C30" s="20">
        <f>AVERAGE('Archetype Details'!H16:H22)</f>
        <v>36450.884775532671</v>
      </c>
      <c r="D30" s="20">
        <f>AVERAGE('Archetype Details'!I16:I22)</f>
        <v>43328.021169257721</v>
      </c>
      <c r="E30" s="20">
        <f>AVERAGE('Archetype Details'!J16:J22)</f>
        <v>49518.443277268489</v>
      </c>
      <c r="F30" t="s">
        <v>10</v>
      </c>
      <c r="G30" t="s">
        <v>98</v>
      </c>
    </row>
    <row r="31" spans="1:7">
      <c r="A31" t="s">
        <v>8</v>
      </c>
      <c r="B31" t="s">
        <v>26</v>
      </c>
      <c r="C31" s="20">
        <f>AVERAGE('Archetype Details'!H26:H27)</f>
        <v>66959.982092632694</v>
      </c>
      <c r="D31" s="20">
        <f>AVERAGE('Archetype Details'!I26:I27)</f>
        <v>188558.19944962667</v>
      </c>
      <c r="E31" s="20">
        <f>AVERAGE('Archetype Details'!J26:J27)</f>
        <v>310156.41680662066</v>
      </c>
      <c r="F31" t="s">
        <v>10</v>
      </c>
      <c r="G31" t="s">
        <v>208</v>
      </c>
    </row>
    <row r="32" spans="1:7">
      <c r="A32" t="s">
        <v>8</v>
      </c>
      <c r="B32" t="s">
        <v>31</v>
      </c>
      <c r="C32" s="20">
        <f>AVERAGE('Archetype Details'!H13:H15)</f>
        <v>997906.66666666663</v>
      </c>
      <c r="D32" s="20">
        <f>AVERAGE('Archetype Details'!I13:I15)</f>
        <v>1058313.3333333333</v>
      </c>
      <c r="E32" s="20">
        <f>AVERAGE('Archetype Details'!J13:J15)</f>
        <v>1179126.6666666667</v>
      </c>
      <c r="F32" t="s">
        <v>10</v>
      </c>
      <c r="G32" t="s">
        <v>95</v>
      </c>
    </row>
    <row r="33" spans="1:7">
      <c r="A33" t="s">
        <v>8</v>
      </c>
      <c r="B33" t="s">
        <v>14</v>
      </c>
      <c r="C33" s="20">
        <f>AVERAGE('Archetype Details'!H16:H22)</f>
        <v>36450.884775532671</v>
      </c>
      <c r="D33" s="20">
        <f>AVERAGE('Archetype Details'!I16:I22)</f>
        <v>43328.021169257721</v>
      </c>
      <c r="E33" s="20">
        <f>AVERAGE('Archetype Details'!J16:J22)</f>
        <v>49518.443277268489</v>
      </c>
      <c r="F33" t="str">
        <f>$F$12</f>
        <v>$/LF</v>
      </c>
      <c r="G33" t="s">
        <v>98</v>
      </c>
    </row>
    <row r="34" spans="1:7">
      <c r="A34" t="s">
        <v>23</v>
      </c>
      <c r="B34" t="s">
        <v>13</v>
      </c>
      <c r="C34" s="20">
        <f>AVERAGE('Archetype Details'!H63:H70)</f>
        <v>6433.3966948326788</v>
      </c>
      <c r="D34" s="20">
        <f>AVERAGE('Archetype Details'!I63:I70)</f>
        <v>11266.009810454832</v>
      </c>
      <c r="E34" s="20">
        <f>AVERAGE('Archetype Details'!J63:J70)</f>
        <v>19291.207357751766</v>
      </c>
      <c r="F34" t="s">
        <v>22</v>
      </c>
      <c r="G34" t="s">
        <v>195</v>
      </c>
    </row>
    <row r="35" spans="1:7">
      <c r="A35" t="s">
        <v>23</v>
      </c>
      <c r="B35" t="s">
        <v>21</v>
      </c>
      <c r="C35" s="20">
        <f>AVERAGE('Archetype Details'!H63:H70)</f>
        <v>6433.3966948326788</v>
      </c>
      <c r="D35" s="20">
        <f>AVERAGE('Archetype Details'!I63:I70)</f>
        <v>11266.009810454832</v>
      </c>
      <c r="E35" s="20">
        <f>AVERAGE('Archetype Details'!J63:J70)</f>
        <v>19291.207357751766</v>
      </c>
      <c r="F35" t="s">
        <v>22</v>
      </c>
      <c r="G35" t="s">
        <v>195</v>
      </c>
    </row>
    <row r="36" spans="1:7">
      <c r="A36" t="s">
        <v>23</v>
      </c>
      <c r="B36" t="s">
        <v>18</v>
      </c>
      <c r="C36" s="20">
        <f>AVERAGE('Archetype Details'!H63:H70)</f>
        <v>6433.3966948326788</v>
      </c>
      <c r="D36" s="20">
        <f>AVERAGE('Archetype Details'!I63:I70)</f>
        <v>11266.009810454832</v>
      </c>
      <c r="E36" s="20">
        <f>AVERAGE('Archetype Details'!J63:J70)</f>
        <v>19291.207357751766</v>
      </c>
      <c r="F36" t="s">
        <v>22</v>
      </c>
      <c r="G36" t="s">
        <v>192</v>
      </c>
    </row>
    <row r="37" spans="1:7">
      <c r="A37" t="s">
        <v>27</v>
      </c>
      <c r="B37" t="s">
        <v>26</v>
      </c>
      <c r="C37" s="20">
        <f>AVERAGE('Archetype Details'!H72:H78)</f>
        <v>8794.9185433922266</v>
      </c>
      <c r="D37" s="20">
        <f>AVERAGE('Archetype Details'!I72:I78)</f>
        <v>17695.77874436021</v>
      </c>
      <c r="E37" s="20">
        <f>AVERAGE('Archetype Details'!J72:J78)</f>
        <v>34519.299480062407</v>
      </c>
      <c r="F37" t="s">
        <v>22</v>
      </c>
      <c r="G37" t="s">
        <v>27</v>
      </c>
    </row>
    <row r="38" spans="1:7">
      <c r="A38" t="s">
        <v>27</v>
      </c>
      <c r="B38" t="s">
        <v>13</v>
      </c>
      <c r="C38" s="20">
        <f>AVERAGE('Archetype Details'!H72:H78)</f>
        <v>8794.9185433922266</v>
      </c>
      <c r="D38" s="20">
        <f>AVERAGE('Archetype Details'!I72:I78)</f>
        <v>17695.77874436021</v>
      </c>
      <c r="E38" s="20">
        <f>AVERAGE('Archetype Details'!J72:J78)</f>
        <v>34519.299480062407</v>
      </c>
      <c r="F38" t="s">
        <v>22</v>
      </c>
      <c r="G38" t="s">
        <v>27</v>
      </c>
    </row>
    <row r="39" spans="1:7">
      <c r="A39" t="s">
        <v>27</v>
      </c>
      <c r="B39" t="s">
        <v>18</v>
      </c>
      <c r="C39" s="20">
        <f>AVERAGE('Archetype Details'!H72:H78)</f>
        <v>8794.9185433922266</v>
      </c>
      <c r="D39" s="20">
        <f>AVERAGE('Archetype Details'!I72:I78)</f>
        <v>17695.77874436021</v>
      </c>
      <c r="E39" s="20">
        <f>AVERAGE('Archetype Details'!J72:J78)</f>
        <v>34519.299480062407</v>
      </c>
      <c r="F39" t="s">
        <v>22</v>
      </c>
      <c r="G39" t="s">
        <v>27</v>
      </c>
    </row>
    <row r="40" spans="1:7">
      <c r="A40" t="s">
        <v>12</v>
      </c>
      <c r="B40" s="21" t="s">
        <v>9</v>
      </c>
      <c r="C40" s="20">
        <f>AVERAGE('Archetype Details'!H24:H25)</f>
        <v>39265.974686874004</v>
      </c>
      <c r="D40" s="20">
        <f>AVERAGE('Archetype Details'!I24:I25)</f>
        <v>190576.10464175147</v>
      </c>
      <c r="E40" s="20">
        <f>AVERAGE('Archetype Details'!J24:J25)</f>
        <v>341886.23459662899</v>
      </c>
      <c r="F40" t="s">
        <v>10</v>
      </c>
      <c r="G40" t="s">
        <v>99</v>
      </c>
    </row>
    <row r="41" spans="1:7">
      <c r="A41" t="s">
        <v>12</v>
      </c>
      <c r="B41" t="s">
        <v>11</v>
      </c>
      <c r="C41" s="20">
        <f>'Archetype Details'!H23</f>
        <v>41947.341855999999</v>
      </c>
      <c r="D41" s="20">
        <f>'Archetype Details'!I23</f>
        <v>41947.341855999999</v>
      </c>
      <c r="E41" s="20">
        <f>'Archetype Details'!J23</f>
        <v>41947.341855999999</v>
      </c>
      <c r="F41" t="s">
        <v>10</v>
      </c>
      <c r="G41" t="s">
        <v>94</v>
      </c>
    </row>
    <row r="42" spans="1:7">
      <c r="A42" t="s">
        <v>12</v>
      </c>
      <c r="B42" t="s">
        <v>13</v>
      </c>
      <c r="C42" s="20">
        <f>AVERAGE('Archetype Details'!H11:H12)</f>
        <v>407352.5</v>
      </c>
      <c r="D42" s="20">
        <f>AVERAGE('Archetype Details'!I11:I12)</f>
        <v>814705</v>
      </c>
      <c r="E42" s="20">
        <f>AVERAGE('Archetype Details'!J11:J12)</f>
        <v>1629410</v>
      </c>
      <c r="F42" t="s">
        <v>10</v>
      </c>
      <c r="G42" t="s">
        <v>101</v>
      </c>
    </row>
    <row r="43" spans="1:7">
      <c r="A43" t="s">
        <v>12</v>
      </c>
      <c r="B43" t="s">
        <v>15</v>
      </c>
      <c r="C43" s="22">
        <f>'Archetype Details'!H9</f>
        <v>13488.596</v>
      </c>
      <c r="D43" s="22">
        <f>'Archetype Details'!I9</f>
        <v>25891.200000000001</v>
      </c>
      <c r="E43" s="22">
        <f>'Archetype Details'!J9</f>
        <v>40275.199999999997</v>
      </c>
      <c r="F43" t="s">
        <v>10</v>
      </c>
      <c r="G43" t="s">
        <v>206</v>
      </c>
    </row>
    <row r="44" spans="1:7">
      <c r="A44" s="21" t="s">
        <v>30</v>
      </c>
      <c r="B44" t="s">
        <v>18</v>
      </c>
      <c r="C44" s="20">
        <f>'Archetype Details'!H83</f>
        <v>589261.30000000005</v>
      </c>
      <c r="D44" s="20">
        <f>'Archetype Details'!I83</f>
        <v>589261.30000000005</v>
      </c>
      <c r="E44" s="20">
        <f>'Archetype Details'!J83</f>
        <v>589261.30000000005</v>
      </c>
      <c r="F44" t="s">
        <v>64</v>
      </c>
      <c r="G44" t="s">
        <v>103</v>
      </c>
    </row>
    <row r="45" spans="1:7">
      <c r="A45" t="s">
        <v>29</v>
      </c>
      <c r="B45" t="s">
        <v>18</v>
      </c>
      <c r="C45" s="20">
        <f>AVERAGE('Archetype Details'!H36:H40)</f>
        <v>7351017.3950000005</v>
      </c>
      <c r="D45" s="20">
        <f>AVERAGE('Archetype Details'!I36:I40)</f>
        <v>14174630.563583046</v>
      </c>
      <c r="E45" s="20">
        <f>AVERAGE('Archetype Details'!J36:J40)</f>
        <v>23775203.098906957</v>
      </c>
      <c r="F45" t="s">
        <v>32</v>
      </c>
      <c r="G45" t="s">
        <v>215</v>
      </c>
    </row>
    <row r="52" spans="1:7" ht="15" hidden="1" customHeight="1">
      <c r="A52" t="s">
        <v>110</v>
      </c>
      <c r="B52" s="1" t="s">
        <v>67</v>
      </c>
      <c r="C52" s="22">
        <v>35</v>
      </c>
      <c r="D52" s="22">
        <v>68</v>
      </c>
      <c r="E52" s="22">
        <v>110</v>
      </c>
      <c r="F52" s="23" t="s">
        <v>65</v>
      </c>
      <c r="G52" t="s">
        <v>100</v>
      </c>
    </row>
    <row r="75" spans="1:7">
      <c r="A75" t="s">
        <v>29</v>
      </c>
      <c r="B75" t="s">
        <v>26</v>
      </c>
      <c r="C75" s="20">
        <f>AVERAGE('Archetype Details'!H36:H40)</f>
        <v>7351017.3950000005</v>
      </c>
      <c r="D75" s="20">
        <f>AVERAGE('Archetype Details'!I36:I40)</f>
        <v>14174630.563583046</v>
      </c>
      <c r="E75" s="20">
        <f>AVERAGE('Archetype Details'!J36:J40)</f>
        <v>23775203.098906957</v>
      </c>
      <c r="F75" t="s">
        <v>32</v>
      </c>
      <c r="G75" t="s">
        <v>213</v>
      </c>
    </row>
  </sheetData>
  <mergeCells count="3">
    <mergeCell ref="C3:E3"/>
    <mergeCell ref="A3:B3"/>
    <mergeCell ref="A2:G2"/>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2F56-D90D-4D16-9A7A-934251955172}">
  <sheetPr>
    <tabColor theme="9" tint="0.79998168889431442"/>
  </sheetPr>
  <dimension ref="A1:Q115"/>
  <sheetViews>
    <sheetView workbookViewId="0">
      <pane ySplit="4" topLeftCell="A5" activePane="bottomLeft" state="frozen"/>
      <selection activeCell="D55" sqref="D55"/>
      <selection pane="bottomLeft" activeCell="L77" sqref="L77"/>
    </sheetView>
  </sheetViews>
  <sheetFormatPr defaultRowHeight="15"/>
  <cols>
    <col min="1" max="1" width="28.42578125" customWidth="1"/>
    <col min="2" max="2" width="12.7109375" customWidth="1"/>
    <col min="3" max="5" width="13.140625" customWidth="1"/>
    <col min="6" max="6" width="9.28515625" customWidth="1"/>
    <col min="7" max="7" width="11.7109375" customWidth="1"/>
    <col min="8" max="10" width="11.85546875" customWidth="1"/>
    <col min="11" max="11" width="16.85546875" customWidth="1"/>
    <col min="12" max="12" width="12.5703125" customWidth="1"/>
    <col min="13" max="13" width="14.5703125" bestFit="1" customWidth="1"/>
    <col min="14" max="14" width="9.28515625" bestFit="1" customWidth="1"/>
  </cols>
  <sheetData>
    <row r="1" spans="1:16" s="12" customFormat="1" ht="21">
      <c r="A1" s="29" t="s">
        <v>281</v>
      </c>
    </row>
    <row r="2" spans="1:16" s="12" customFormat="1" ht="56.25" customHeight="1">
      <c r="A2" s="80" t="s">
        <v>282</v>
      </c>
      <c r="B2" s="80"/>
      <c r="C2" s="80"/>
      <c r="D2" s="80"/>
      <c r="E2" s="80"/>
      <c r="F2" s="80"/>
      <c r="G2" s="80"/>
      <c r="H2" s="80"/>
      <c r="I2" s="80"/>
      <c r="J2" s="80"/>
      <c r="K2" s="80"/>
    </row>
    <row r="3" spans="1:16" s="21" customFormat="1">
      <c r="C3" s="81" t="s">
        <v>198</v>
      </c>
      <c r="D3" s="82"/>
      <c r="E3" s="83"/>
      <c r="F3" s="82" t="s">
        <v>164</v>
      </c>
      <c r="G3" s="82"/>
      <c r="H3" s="81" t="s">
        <v>183</v>
      </c>
      <c r="I3" s="82"/>
      <c r="J3" s="83"/>
      <c r="L3" s="81" t="s">
        <v>201</v>
      </c>
      <c r="M3" s="82"/>
      <c r="N3" s="82"/>
      <c r="O3" s="82"/>
      <c r="P3" s="83"/>
    </row>
    <row r="4" spans="1:16" s="37" customFormat="1" ht="45">
      <c r="A4" s="37" t="s">
        <v>205</v>
      </c>
      <c r="B4" s="37" t="s">
        <v>0</v>
      </c>
      <c r="C4" s="38" t="s">
        <v>3</v>
      </c>
      <c r="D4" s="37" t="s">
        <v>4</v>
      </c>
      <c r="E4" s="41" t="s">
        <v>5</v>
      </c>
      <c r="F4" s="37" t="s">
        <v>199</v>
      </c>
      <c r="G4" s="37" t="s">
        <v>200</v>
      </c>
      <c r="H4" s="38" t="s">
        <v>3</v>
      </c>
      <c r="I4" s="37" t="s">
        <v>4</v>
      </c>
      <c r="J4" s="41" t="s">
        <v>5</v>
      </c>
      <c r="K4" s="37" t="s">
        <v>6</v>
      </c>
      <c r="L4" s="38" t="s">
        <v>202</v>
      </c>
      <c r="M4" s="37" t="s">
        <v>203</v>
      </c>
      <c r="N4" s="37" t="s">
        <v>237</v>
      </c>
      <c r="O4" s="21" t="s">
        <v>7</v>
      </c>
      <c r="P4" s="41" t="s">
        <v>33</v>
      </c>
    </row>
    <row r="5" spans="1:16" s="13" customFormat="1" ht="12.75">
      <c r="A5" s="13" t="s">
        <v>97</v>
      </c>
      <c r="B5" s="13" t="s">
        <v>41</v>
      </c>
      <c r="C5" s="39">
        <v>36374.637499999997</v>
      </c>
      <c r="D5" s="40">
        <v>36374.637499999997</v>
      </c>
      <c r="E5" s="42">
        <v>36374.637499999997</v>
      </c>
      <c r="F5" s="13">
        <v>2022</v>
      </c>
      <c r="G5" s="13">
        <v>1</v>
      </c>
      <c r="H5" s="39">
        <v>36374.637499999997</v>
      </c>
      <c r="I5" s="40">
        <v>36374.637499999997</v>
      </c>
      <c r="J5" s="42">
        <v>36374.637499999997</v>
      </c>
      <c r="K5" s="16" t="s">
        <v>138</v>
      </c>
      <c r="L5" s="43"/>
      <c r="M5" s="44">
        <v>14549855</v>
      </c>
      <c r="N5" s="45">
        <v>400</v>
      </c>
      <c r="O5" s="13" t="s">
        <v>204</v>
      </c>
      <c r="P5" s="65" t="s">
        <v>113</v>
      </c>
    </row>
    <row r="6" spans="1:16" s="13" customFormat="1" ht="12.75">
      <c r="A6" s="13" t="s">
        <v>97</v>
      </c>
      <c r="B6" s="13" t="s">
        <v>153</v>
      </c>
      <c r="C6" s="39">
        <v>325000</v>
      </c>
      <c r="D6" s="40">
        <v>325000</v>
      </c>
      <c r="E6" s="42">
        <v>325000</v>
      </c>
      <c r="F6" s="13">
        <v>2021</v>
      </c>
      <c r="G6" s="13">
        <v>1.0900000000000001</v>
      </c>
      <c r="H6" s="39">
        <v>354250</v>
      </c>
      <c r="I6" s="40">
        <v>354250</v>
      </c>
      <c r="J6" s="42">
        <v>354250</v>
      </c>
      <c r="K6" s="16" t="s">
        <v>138</v>
      </c>
      <c r="L6" s="43"/>
      <c r="M6" s="44">
        <f>SUM(197000,70000,30000,25000,3000)</f>
        <v>325000</v>
      </c>
      <c r="N6" s="45">
        <v>1</v>
      </c>
      <c r="O6" s="13" t="s">
        <v>42</v>
      </c>
      <c r="P6" s="66" t="s">
        <v>115</v>
      </c>
    </row>
    <row r="7" spans="1:16" s="13" customFormat="1" ht="12.75">
      <c r="A7" s="13" t="s">
        <v>97</v>
      </c>
      <c r="B7" s="13" t="s">
        <v>43</v>
      </c>
      <c r="C7" s="39">
        <v>3905526.3157894737</v>
      </c>
      <c r="D7" s="40">
        <v>3905526.3157894737</v>
      </c>
      <c r="E7" s="42">
        <v>3905526.3157894737</v>
      </c>
      <c r="F7" s="13">
        <v>2021</v>
      </c>
      <c r="G7" s="13">
        <v>1.0900000000000001</v>
      </c>
      <c r="H7" s="39">
        <v>4257023.6842105268</v>
      </c>
      <c r="I7" s="40">
        <v>4257023.6842105268</v>
      </c>
      <c r="J7" s="42">
        <v>4257023.6842105268</v>
      </c>
      <c r="K7" s="16" t="s">
        <v>138</v>
      </c>
      <c r="L7" s="43"/>
      <c r="M7" s="44">
        <v>5936400</v>
      </c>
      <c r="N7" s="45">
        <v>1.52</v>
      </c>
      <c r="O7" s="13" t="s">
        <v>42</v>
      </c>
      <c r="P7" s="66" t="s">
        <v>114</v>
      </c>
    </row>
    <row r="8" spans="1:16" s="13" customFormat="1" ht="12.75">
      <c r="A8" s="13" t="s">
        <v>97</v>
      </c>
      <c r="B8" s="13" t="s">
        <v>194</v>
      </c>
      <c r="C8" s="39">
        <v>43756.097560975606</v>
      </c>
      <c r="D8" s="40">
        <v>43756.097560975606</v>
      </c>
      <c r="E8" s="42">
        <v>43756.097560975606</v>
      </c>
      <c r="F8" s="13">
        <v>2017</v>
      </c>
      <c r="G8" s="13">
        <v>1.21</v>
      </c>
      <c r="H8" s="39">
        <v>52944.878048780483</v>
      </c>
      <c r="I8" s="40">
        <v>52944.878048780483</v>
      </c>
      <c r="J8" s="42">
        <v>52944.878048780483</v>
      </c>
      <c r="K8" s="16" t="s">
        <v>138</v>
      </c>
      <c r="L8" s="43"/>
      <c r="M8" s="44">
        <v>3900000</v>
      </c>
      <c r="N8" s="45">
        <v>123</v>
      </c>
      <c r="O8" s="13" t="s">
        <v>226</v>
      </c>
      <c r="P8" s="65" t="s">
        <v>77</v>
      </c>
    </row>
    <row r="9" spans="1:16" s="13" customFormat="1" ht="12.75">
      <c r="A9" s="13" t="s">
        <v>206</v>
      </c>
      <c r="B9" s="13" t="s">
        <v>79</v>
      </c>
      <c r="C9" s="39">
        <v>10877.9</v>
      </c>
      <c r="D9" s="40">
        <v>20880</v>
      </c>
      <c r="E9" s="42">
        <v>32479.999999999996</v>
      </c>
      <c r="F9" s="13">
        <v>2014</v>
      </c>
      <c r="G9" s="13">
        <v>1.24</v>
      </c>
      <c r="H9" s="39">
        <v>13488.596</v>
      </c>
      <c r="I9" s="40">
        <v>25891.200000000001</v>
      </c>
      <c r="J9" s="42">
        <v>40275.199999999997</v>
      </c>
      <c r="K9" s="16" t="s">
        <v>138</v>
      </c>
      <c r="L9" s="46">
        <f>900+2300+2600</f>
        <v>5800</v>
      </c>
      <c r="M9" s="44"/>
      <c r="N9" s="45"/>
      <c r="O9" s="13" t="s">
        <v>227</v>
      </c>
      <c r="P9" s="65" t="s">
        <v>78</v>
      </c>
    </row>
    <row r="10" spans="1:16" s="13" customFormat="1" ht="12.75">
      <c r="A10" s="13" t="s">
        <v>96</v>
      </c>
      <c r="B10" s="13" t="s">
        <v>47</v>
      </c>
      <c r="C10" s="39">
        <v>250000</v>
      </c>
      <c r="D10" s="40">
        <v>500000</v>
      </c>
      <c r="E10" s="42">
        <v>1000000</v>
      </c>
      <c r="F10" s="13">
        <v>2018</v>
      </c>
      <c r="G10" s="13">
        <v>1.18</v>
      </c>
      <c r="H10" s="39">
        <v>295000</v>
      </c>
      <c r="I10" s="40">
        <v>590000</v>
      </c>
      <c r="J10" s="42">
        <v>1180000</v>
      </c>
      <c r="K10" s="16" t="s">
        <v>138</v>
      </c>
      <c r="L10" s="46"/>
      <c r="M10" s="44"/>
      <c r="N10" s="45"/>
      <c r="O10" s="13" t="s">
        <v>155</v>
      </c>
      <c r="P10" s="66" t="s">
        <v>48</v>
      </c>
    </row>
    <row r="11" spans="1:16" s="13" customFormat="1" ht="12.75">
      <c r="A11" s="13" t="s">
        <v>101</v>
      </c>
      <c r="B11" s="13" t="s">
        <v>50</v>
      </c>
      <c r="C11" s="39">
        <v>625000</v>
      </c>
      <c r="D11" s="40">
        <v>1250000</v>
      </c>
      <c r="E11" s="42">
        <v>2500000</v>
      </c>
      <c r="F11" s="13">
        <v>2021</v>
      </c>
      <c r="G11" s="13">
        <v>1.0900000000000001</v>
      </c>
      <c r="H11" s="39">
        <v>681250</v>
      </c>
      <c r="I11" s="40">
        <v>1362500</v>
      </c>
      <c r="J11" s="42">
        <v>2725000</v>
      </c>
      <c r="K11" s="16" t="s">
        <v>138</v>
      </c>
      <c r="L11" s="46"/>
      <c r="M11" s="44">
        <v>50000000</v>
      </c>
      <c r="N11" s="45">
        <v>40</v>
      </c>
      <c r="O11" s="47" t="s">
        <v>228</v>
      </c>
      <c r="P11" s="65" t="s">
        <v>51</v>
      </c>
    </row>
    <row r="12" spans="1:16" s="13" customFormat="1" ht="12.75">
      <c r="A12" s="13" t="s">
        <v>101</v>
      </c>
      <c r="B12" s="13" t="s">
        <v>70</v>
      </c>
      <c r="C12" s="39">
        <v>108500</v>
      </c>
      <c r="D12" s="40">
        <v>217000</v>
      </c>
      <c r="E12" s="42">
        <v>434000</v>
      </c>
      <c r="F12" s="13">
        <v>2016</v>
      </c>
      <c r="G12" s="13">
        <v>1.23</v>
      </c>
      <c r="H12" s="39">
        <v>133455</v>
      </c>
      <c r="I12" s="40">
        <v>266910</v>
      </c>
      <c r="J12" s="42">
        <v>533820</v>
      </c>
      <c r="K12" s="16" t="s">
        <v>138</v>
      </c>
      <c r="L12" s="46"/>
      <c r="M12" s="44">
        <v>4571552</v>
      </c>
      <c r="N12" s="45">
        <v>21.07</v>
      </c>
      <c r="O12" s="47" t="s">
        <v>229</v>
      </c>
      <c r="P12" s="66" t="s">
        <v>71</v>
      </c>
    </row>
    <row r="13" spans="1:16" s="13" customFormat="1" ht="12.75">
      <c r="A13" s="13" t="s">
        <v>95</v>
      </c>
      <c r="B13" s="13" t="s">
        <v>184</v>
      </c>
      <c r="C13" s="39">
        <v>2812500</v>
      </c>
      <c r="D13" s="40">
        <v>2812500</v>
      </c>
      <c r="E13" s="42">
        <v>2812500</v>
      </c>
      <c r="F13" s="13">
        <v>2022</v>
      </c>
      <c r="G13" s="13">
        <v>1</v>
      </c>
      <c r="H13" s="39">
        <v>2812500</v>
      </c>
      <c r="I13" s="40">
        <v>2812500</v>
      </c>
      <c r="J13" s="42">
        <v>2812500</v>
      </c>
      <c r="K13" s="16" t="s">
        <v>138</v>
      </c>
      <c r="L13" s="46"/>
      <c r="M13" s="44">
        <v>900000</v>
      </c>
      <c r="N13" s="45">
        <v>0.32</v>
      </c>
      <c r="O13" s="13" t="s">
        <v>230</v>
      </c>
      <c r="P13" s="65" t="s">
        <v>49</v>
      </c>
    </row>
    <row r="14" spans="1:16" s="13" customFormat="1" ht="12.75">
      <c r="A14" s="13" t="s">
        <v>95</v>
      </c>
      <c r="B14" s="13" t="s">
        <v>47</v>
      </c>
      <c r="C14" s="39">
        <v>100000</v>
      </c>
      <c r="D14" s="40">
        <v>200000</v>
      </c>
      <c r="E14" s="42">
        <v>400000</v>
      </c>
      <c r="F14" s="13">
        <v>2018</v>
      </c>
      <c r="G14" s="13">
        <v>1.18</v>
      </c>
      <c r="H14" s="39">
        <v>118000</v>
      </c>
      <c r="I14" s="40">
        <v>236000</v>
      </c>
      <c r="J14" s="42">
        <v>472000</v>
      </c>
      <c r="K14" s="16" t="s">
        <v>138</v>
      </c>
      <c r="L14" s="46"/>
      <c r="M14" s="48"/>
      <c r="N14" s="49"/>
      <c r="O14" s="47" t="s">
        <v>231</v>
      </c>
      <c r="P14" s="66" t="s">
        <v>48</v>
      </c>
    </row>
    <row r="15" spans="1:16" s="13" customFormat="1" ht="12.75">
      <c r="A15" s="13" t="s">
        <v>95</v>
      </c>
      <c r="B15" s="13" t="s">
        <v>50</v>
      </c>
      <c r="C15" s="39">
        <v>58000</v>
      </c>
      <c r="D15" s="40">
        <v>116000</v>
      </c>
      <c r="E15" s="42">
        <v>232000</v>
      </c>
      <c r="F15" s="13">
        <v>2021</v>
      </c>
      <c r="G15" s="13">
        <v>1.0900000000000001</v>
      </c>
      <c r="H15" s="39">
        <v>63220.000000000007</v>
      </c>
      <c r="I15" s="40">
        <v>126440.00000000001</v>
      </c>
      <c r="J15" s="42">
        <v>252880.00000000003</v>
      </c>
      <c r="K15" s="16" t="s">
        <v>138</v>
      </c>
      <c r="L15" s="46"/>
      <c r="M15" s="48"/>
      <c r="N15" s="49"/>
      <c r="O15" s="47" t="s">
        <v>232</v>
      </c>
      <c r="P15" s="66" t="s">
        <v>51</v>
      </c>
    </row>
    <row r="16" spans="1:16" s="13" customFormat="1" ht="12.75">
      <c r="A16" s="13" t="s">
        <v>98</v>
      </c>
      <c r="B16" s="13" t="s">
        <v>161</v>
      </c>
      <c r="C16" s="39">
        <v>20640</v>
      </c>
      <c r="D16" s="40">
        <v>41320</v>
      </c>
      <c r="E16" s="42">
        <v>51110</v>
      </c>
      <c r="F16" s="13">
        <v>2019</v>
      </c>
      <c r="G16" s="13">
        <v>1.1499999999999999</v>
      </c>
      <c r="H16" s="39">
        <v>23735.999999999996</v>
      </c>
      <c r="I16" s="40">
        <v>47517.999999999993</v>
      </c>
      <c r="J16" s="42">
        <v>58776.499999999993</v>
      </c>
      <c r="K16" s="16" t="s">
        <v>138</v>
      </c>
      <c r="L16" s="46"/>
      <c r="M16" s="48"/>
      <c r="N16" s="49"/>
      <c r="O16" s="13" t="s">
        <v>182</v>
      </c>
      <c r="P16" s="67" t="s">
        <v>125</v>
      </c>
    </row>
    <row r="17" spans="1:16" s="13" customFormat="1" ht="12.75">
      <c r="A17" s="13" t="s">
        <v>98</v>
      </c>
      <c r="B17" s="13" t="s">
        <v>162</v>
      </c>
      <c r="C17" s="39">
        <v>12250</v>
      </c>
      <c r="D17" s="40">
        <v>13100</v>
      </c>
      <c r="E17" s="42">
        <v>20660</v>
      </c>
      <c r="F17" s="13">
        <v>2019</v>
      </c>
      <c r="G17" s="13">
        <v>1.1499999999999999</v>
      </c>
      <c r="H17" s="39">
        <v>14087.499999999998</v>
      </c>
      <c r="I17" s="40">
        <v>15064.999999999998</v>
      </c>
      <c r="J17" s="42">
        <v>23758.999999999996</v>
      </c>
      <c r="K17" s="16" t="s">
        <v>138</v>
      </c>
      <c r="L17" s="46"/>
      <c r="M17" s="48"/>
      <c r="N17" s="49"/>
      <c r="O17" s="13" t="s">
        <v>182</v>
      </c>
      <c r="P17" s="67" t="s">
        <v>125</v>
      </c>
    </row>
    <row r="18" spans="1:16" s="13" customFormat="1" ht="12.75">
      <c r="A18" s="13" t="s">
        <v>98</v>
      </c>
      <c r="B18" s="13" t="s">
        <v>163</v>
      </c>
      <c r="C18" s="39">
        <v>12240</v>
      </c>
      <c r="D18" s="40">
        <v>12470</v>
      </c>
      <c r="E18" s="42">
        <v>12700</v>
      </c>
      <c r="F18" s="13">
        <v>2019</v>
      </c>
      <c r="G18" s="13">
        <v>1.1499999999999999</v>
      </c>
      <c r="H18" s="39">
        <v>14075.999999999998</v>
      </c>
      <c r="I18" s="40">
        <v>14340.499999999998</v>
      </c>
      <c r="J18" s="42">
        <v>14604.999999999998</v>
      </c>
      <c r="K18" s="16" t="s">
        <v>138</v>
      </c>
      <c r="L18" s="46"/>
      <c r="M18" s="48"/>
      <c r="N18" s="49"/>
      <c r="O18" s="13" t="s">
        <v>182</v>
      </c>
      <c r="P18" s="67" t="s">
        <v>125</v>
      </c>
    </row>
    <row r="19" spans="1:16" s="13" customFormat="1" ht="12.75">
      <c r="A19" s="13" t="s">
        <v>98</v>
      </c>
      <c r="B19" s="13" t="s">
        <v>34</v>
      </c>
      <c r="C19" s="39">
        <v>75471.698113207545</v>
      </c>
      <c r="D19" s="40">
        <v>75471.698113207545</v>
      </c>
      <c r="E19" s="42">
        <v>75471.698113207545</v>
      </c>
      <c r="F19" s="13">
        <v>2022</v>
      </c>
      <c r="G19" s="13">
        <v>1</v>
      </c>
      <c r="H19" s="39">
        <v>75471.698113207545</v>
      </c>
      <c r="I19" s="40">
        <v>75471.698113207545</v>
      </c>
      <c r="J19" s="42">
        <v>75471.698113207545</v>
      </c>
      <c r="K19" s="16" t="s">
        <v>138</v>
      </c>
      <c r="L19" s="46"/>
      <c r="M19" s="44">
        <v>12000000</v>
      </c>
      <c r="N19" s="45">
        <v>159</v>
      </c>
      <c r="O19" s="13" t="s">
        <v>35</v>
      </c>
      <c r="P19" s="66" t="s">
        <v>123</v>
      </c>
    </row>
    <row r="20" spans="1:16" s="13" customFormat="1" ht="12.75">
      <c r="A20" s="13" t="s">
        <v>98</v>
      </c>
      <c r="B20" s="13" t="s">
        <v>36</v>
      </c>
      <c r="C20" s="39">
        <v>58139.534883720931</v>
      </c>
      <c r="D20" s="40">
        <v>58139.534883720931</v>
      </c>
      <c r="E20" s="42">
        <v>58139.534883720931</v>
      </c>
      <c r="F20" s="13">
        <v>2022</v>
      </c>
      <c r="G20" s="13">
        <v>1</v>
      </c>
      <c r="H20" s="39">
        <v>58139.534883720931</v>
      </c>
      <c r="I20" s="40">
        <v>58139.534883720931</v>
      </c>
      <c r="J20" s="42">
        <v>58139.534883720931</v>
      </c>
      <c r="K20" s="16" t="s">
        <v>138</v>
      </c>
      <c r="L20" s="46"/>
      <c r="M20" s="44">
        <v>10000000</v>
      </c>
      <c r="N20" s="45">
        <v>172</v>
      </c>
      <c r="O20" s="13" t="s">
        <v>37</v>
      </c>
      <c r="P20" s="65" t="s">
        <v>112</v>
      </c>
    </row>
    <row r="21" spans="1:16" s="13" customFormat="1" ht="12.75">
      <c r="A21" s="13" t="s">
        <v>98</v>
      </c>
      <c r="B21" s="13" t="s">
        <v>72</v>
      </c>
      <c r="C21" s="39">
        <v>27165.779729264887</v>
      </c>
      <c r="D21" s="40">
        <v>44162.805285202645</v>
      </c>
      <c r="E21" s="42">
        <v>61159.830841140407</v>
      </c>
      <c r="F21" s="13">
        <v>2010</v>
      </c>
      <c r="G21" s="13">
        <v>1.36</v>
      </c>
      <c r="H21" s="39">
        <v>36945.460431800246</v>
      </c>
      <c r="I21" s="40">
        <v>60061.415187875602</v>
      </c>
      <c r="J21" s="42">
        <v>83177.369943950966</v>
      </c>
      <c r="K21" s="16" t="s">
        <v>138</v>
      </c>
      <c r="L21" s="46"/>
      <c r="M21" s="48"/>
      <c r="N21" s="49"/>
      <c r="O21" s="13" t="s">
        <v>154</v>
      </c>
      <c r="P21" s="65" t="s">
        <v>73</v>
      </c>
    </row>
    <row r="22" spans="1:16" s="13" customFormat="1" ht="12.75">
      <c r="A22" s="13" t="s">
        <v>98</v>
      </c>
      <c r="B22" s="13" t="s">
        <v>91</v>
      </c>
      <c r="C22" s="39">
        <v>30000</v>
      </c>
      <c r="D22" s="40">
        <v>30000</v>
      </c>
      <c r="E22" s="42">
        <v>30000</v>
      </c>
      <c r="F22" s="13">
        <v>2021</v>
      </c>
      <c r="G22" s="13">
        <v>1.0900000000000001</v>
      </c>
      <c r="H22" s="39">
        <v>32700.000000000004</v>
      </c>
      <c r="I22" s="40">
        <v>32700.000000000004</v>
      </c>
      <c r="J22" s="42">
        <v>32700.000000000004</v>
      </c>
      <c r="K22" s="16" t="s">
        <v>138</v>
      </c>
      <c r="L22" s="46"/>
      <c r="M22" s="48"/>
      <c r="N22" s="49"/>
      <c r="O22" s="13" t="s">
        <v>129</v>
      </c>
      <c r="P22" s="65" t="s">
        <v>88</v>
      </c>
    </row>
    <row r="23" spans="1:16" s="13" customFormat="1" ht="12.75">
      <c r="A23" s="13" t="s">
        <v>207</v>
      </c>
      <c r="B23" s="13" t="s">
        <v>52</v>
      </c>
      <c r="C23" s="39">
        <v>26054.249599999999</v>
      </c>
      <c r="D23" s="40">
        <v>26054.249599999999</v>
      </c>
      <c r="E23" s="42">
        <v>26054.249599999999</v>
      </c>
      <c r="F23" s="13">
        <v>2003</v>
      </c>
      <c r="G23" s="13">
        <v>1.61</v>
      </c>
      <c r="H23" s="39">
        <v>41947.341855999999</v>
      </c>
      <c r="I23" s="40">
        <v>41947.341855999999</v>
      </c>
      <c r="J23" s="42">
        <v>41947.341855999999</v>
      </c>
      <c r="K23" s="16" t="s">
        <v>138</v>
      </c>
      <c r="L23" s="46"/>
      <c r="M23" s="44">
        <f>SUM(5838185,4518571,2657150,1000000,800000,500000,500000,450000,15000,5000)</f>
        <v>16283906</v>
      </c>
      <c r="N23" s="45">
        <v>625</v>
      </c>
      <c r="O23" s="13" t="s">
        <v>127</v>
      </c>
      <c r="P23" s="65" t="s">
        <v>119</v>
      </c>
    </row>
    <row r="24" spans="1:16" s="13" customFormat="1" ht="12.75">
      <c r="A24" s="13" t="s">
        <v>99</v>
      </c>
      <c r="B24" s="13" t="s">
        <v>157</v>
      </c>
      <c r="C24" s="39">
        <v>2261.7874992412135</v>
      </c>
      <c r="D24" s="40">
        <v>14637.702596062401</v>
      </c>
      <c r="E24" s="42">
        <v>27013.617692883592</v>
      </c>
      <c r="F24" s="13">
        <v>2002</v>
      </c>
      <c r="G24" s="13">
        <v>1.65</v>
      </c>
      <c r="H24" s="39">
        <v>3731.949373748002</v>
      </c>
      <c r="I24" s="40">
        <v>24152.209283502962</v>
      </c>
      <c r="J24" s="42">
        <v>44572.469193257923</v>
      </c>
      <c r="K24" s="16" t="s">
        <v>138</v>
      </c>
      <c r="L24" s="46"/>
      <c r="M24" s="50" t="s">
        <v>185</v>
      </c>
      <c r="N24" s="49">
        <f>2.47105</f>
        <v>2.47105</v>
      </c>
      <c r="O24" s="13" t="s">
        <v>233</v>
      </c>
      <c r="P24" s="68" t="s">
        <v>105</v>
      </c>
    </row>
    <row r="25" spans="1:16" s="13" customFormat="1" ht="12.75">
      <c r="A25" s="13" t="s">
        <v>99</v>
      </c>
      <c r="B25" s="13" t="s">
        <v>107</v>
      </c>
      <c r="C25" s="39">
        <v>55000</v>
      </c>
      <c r="D25" s="40">
        <v>262500</v>
      </c>
      <c r="E25" s="42">
        <v>470000</v>
      </c>
      <c r="F25" s="13">
        <v>2010</v>
      </c>
      <c r="G25" s="13">
        <v>1.36</v>
      </c>
      <c r="H25" s="39">
        <v>74800</v>
      </c>
      <c r="I25" s="40">
        <v>357000</v>
      </c>
      <c r="J25" s="42">
        <v>639200</v>
      </c>
      <c r="K25" s="16" t="s">
        <v>138</v>
      </c>
      <c r="L25" s="46"/>
      <c r="M25" s="50"/>
      <c r="N25" s="49"/>
      <c r="O25" s="13" t="s">
        <v>106</v>
      </c>
      <c r="P25" s="69" t="s">
        <v>108</v>
      </c>
    </row>
    <row r="26" spans="1:16" s="13" customFormat="1" ht="12.75">
      <c r="A26" s="13" t="s">
        <v>208</v>
      </c>
      <c r="B26" s="13" t="s">
        <v>39</v>
      </c>
      <c r="C26" s="39">
        <v>45000</v>
      </c>
      <c r="D26" s="40">
        <v>145000</v>
      </c>
      <c r="E26" s="42">
        <v>245000</v>
      </c>
      <c r="F26" s="13">
        <v>2001</v>
      </c>
      <c r="G26" s="13">
        <v>1.67</v>
      </c>
      <c r="H26" s="39">
        <v>75150</v>
      </c>
      <c r="I26" s="40">
        <v>242150</v>
      </c>
      <c r="J26" s="42">
        <v>409150</v>
      </c>
      <c r="K26" s="16" t="s">
        <v>138</v>
      </c>
      <c r="L26" s="46"/>
      <c r="M26" s="51"/>
      <c r="N26" s="45"/>
      <c r="O26" s="52" t="s">
        <v>40</v>
      </c>
      <c r="P26" s="70" t="s">
        <v>38</v>
      </c>
    </row>
    <row r="27" spans="1:16" s="13" customFormat="1" ht="12.75">
      <c r="A27" s="13" t="s">
        <v>208</v>
      </c>
      <c r="B27" s="13" t="s">
        <v>72</v>
      </c>
      <c r="C27" s="39">
        <v>43213.208959753953</v>
      </c>
      <c r="D27" s="40">
        <v>99239.999190627466</v>
      </c>
      <c r="E27" s="42">
        <v>155266.78942150099</v>
      </c>
      <c r="F27" s="13">
        <v>2010</v>
      </c>
      <c r="G27" s="13">
        <v>1.36</v>
      </c>
      <c r="H27" s="39">
        <v>58769.96418526538</v>
      </c>
      <c r="I27" s="40">
        <v>134966.39889925337</v>
      </c>
      <c r="J27" s="42">
        <v>211162.83361324135</v>
      </c>
      <c r="K27" s="16" t="s">
        <v>138</v>
      </c>
      <c r="L27" s="46"/>
      <c r="M27" s="51"/>
      <c r="N27" s="45"/>
      <c r="O27" s="53" t="s">
        <v>74</v>
      </c>
      <c r="P27" s="71" t="s">
        <v>73</v>
      </c>
    </row>
    <row r="28" spans="1:16" s="13" customFormat="1" ht="12.75">
      <c r="A28" s="13" t="s">
        <v>209</v>
      </c>
      <c r="B28" s="13" t="s">
        <v>47</v>
      </c>
      <c r="C28" s="39">
        <v>9143.9997073920094</v>
      </c>
      <c r="D28" s="40">
        <v>11277.599639116812</v>
      </c>
      <c r="E28" s="42">
        <v>13411.199570841613</v>
      </c>
      <c r="F28" s="13">
        <v>2018</v>
      </c>
      <c r="G28" s="13">
        <v>1.18</v>
      </c>
      <c r="H28" s="39">
        <v>10789.919654722571</v>
      </c>
      <c r="I28" s="40">
        <v>13307.567574157838</v>
      </c>
      <c r="J28" s="42">
        <v>15825.215493593101</v>
      </c>
      <c r="K28" s="16" t="s">
        <v>223</v>
      </c>
      <c r="L28" s="43"/>
      <c r="M28" s="54" t="s">
        <v>186</v>
      </c>
      <c r="N28" s="45">
        <v>3280.84</v>
      </c>
      <c r="O28" s="13" t="s">
        <v>234</v>
      </c>
      <c r="P28" s="66" t="s">
        <v>48</v>
      </c>
    </row>
    <row r="29" spans="1:16" s="13" customFormat="1" ht="12.75">
      <c r="A29" s="13" t="s">
        <v>209</v>
      </c>
      <c r="B29" s="13" t="s">
        <v>151</v>
      </c>
      <c r="C29" s="39">
        <v>5716.5238170712373</v>
      </c>
      <c r="D29" s="40">
        <v>10972.79964887041</v>
      </c>
      <c r="E29" s="42">
        <v>17068.799453798416</v>
      </c>
      <c r="F29" s="13">
        <v>2022</v>
      </c>
      <c r="G29" s="13">
        <v>1</v>
      </c>
      <c r="H29" s="39">
        <v>5716.5238170712373</v>
      </c>
      <c r="I29" s="40">
        <v>10972.79964887041</v>
      </c>
      <c r="J29" s="42">
        <v>17068.799453798416</v>
      </c>
      <c r="K29" s="16" t="s">
        <v>223</v>
      </c>
      <c r="L29" s="55">
        <f>10000000/3280.84</f>
        <v>3047.9999024640028</v>
      </c>
      <c r="M29" s="50"/>
      <c r="N29" s="49"/>
      <c r="O29" s="13" t="s">
        <v>152</v>
      </c>
      <c r="P29" s="72"/>
    </row>
    <row r="30" spans="1:16" s="13" customFormat="1" ht="12.75">
      <c r="A30" s="13" t="s">
        <v>214</v>
      </c>
      <c r="B30" s="13" t="s">
        <v>44</v>
      </c>
      <c r="C30" s="39">
        <v>12966.163814557071</v>
      </c>
      <c r="D30" s="40">
        <v>14406.84868284119</v>
      </c>
      <c r="E30" s="42">
        <v>16567.875985267368</v>
      </c>
      <c r="F30" s="13">
        <v>2022</v>
      </c>
      <c r="G30" s="13">
        <v>1</v>
      </c>
      <c r="H30" s="39">
        <v>12966.163814557071</v>
      </c>
      <c r="I30" s="40">
        <v>14406.84868284119</v>
      </c>
      <c r="J30" s="42">
        <v>16567.875985267368</v>
      </c>
      <c r="K30" s="16" t="s">
        <v>138</v>
      </c>
      <c r="L30" s="43"/>
      <c r="M30" s="50"/>
      <c r="N30" s="49"/>
      <c r="O30" s="13" t="s">
        <v>276</v>
      </c>
      <c r="P30" s="68" t="s">
        <v>116</v>
      </c>
    </row>
    <row r="31" spans="1:16" s="13" customFormat="1" ht="12.75">
      <c r="A31" s="13" t="s">
        <v>214</v>
      </c>
      <c r="B31" s="13" t="s">
        <v>178</v>
      </c>
      <c r="C31" s="39">
        <v>35339.283491686467</v>
      </c>
      <c r="D31" s="40">
        <v>39265.870546318292</v>
      </c>
      <c r="E31" s="42">
        <v>45155.751128266034</v>
      </c>
      <c r="F31" s="13">
        <v>2018</v>
      </c>
      <c r="G31" s="13">
        <v>1.18</v>
      </c>
      <c r="H31" s="39">
        <v>41700.354520190027</v>
      </c>
      <c r="I31" s="40">
        <v>46333.72724465558</v>
      </c>
      <c r="J31" s="42">
        <v>53283.78633135392</v>
      </c>
      <c r="K31" s="16" t="s">
        <v>138</v>
      </c>
      <c r="L31" s="43"/>
      <c r="M31" s="50"/>
      <c r="N31" s="49"/>
      <c r="O31" s="13" t="s">
        <v>277</v>
      </c>
      <c r="P31" s="69" t="s">
        <v>117</v>
      </c>
    </row>
    <row r="32" spans="1:16" s="13" customFormat="1" ht="12.75">
      <c r="A32" s="13" t="s">
        <v>214</v>
      </c>
      <c r="B32" s="13" t="s">
        <v>46</v>
      </c>
      <c r="C32" s="39">
        <v>31304.34782608696</v>
      </c>
      <c r="D32" s="40">
        <v>34782.608695652176</v>
      </c>
      <c r="E32" s="42">
        <v>40000</v>
      </c>
      <c r="F32" s="13">
        <v>2021</v>
      </c>
      <c r="G32" s="13">
        <v>1.0900000000000001</v>
      </c>
      <c r="H32" s="39">
        <v>34121.739130434791</v>
      </c>
      <c r="I32" s="40">
        <v>37913.043478260872</v>
      </c>
      <c r="J32" s="42">
        <v>43600</v>
      </c>
      <c r="K32" s="16" t="s">
        <v>138</v>
      </c>
      <c r="L32" s="43"/>
      <c r="M32" s="50"/>
      <c r="N32" s="49"/>
      <c r="O32" s="13" t="s">
        <v>45</v>
      </c>
      <c r="P32" s="66" t="s">
        <v>118</v>
      </c>
    </row>
    <row r="33" spans="1:16" s="13" customFormat="1" ht="12.75">
      <c r="A33" s="13" t="s">
        <v>214</v>
      </c>
      <c r="B33" s="13" t="s">
        <v>86</v>
      </c>
      <c r="C33" s="39">
        <v>1500</v>
      </c>
      <c r="D33" s="40">
        <v>5000</v>
      </c>
      <c r="E33" s="42">
        <v>100000</v>
      </c>
      <c r="F33" s="13">
        <v>2001</v>
      </c>
      <c r="G33" s="13">
        <v>1.67</v>
      </c>
      <c r="H33" s="39">
        <v>2505</v>
      </c>
      <c r="I33" s="40">
        <v>8350</v>
      </c>
      <c r="J33" s="42">
        <v>167000</v>
      </c>
      <c r="K33" s="16" t="s">
        <v>138</v>
      </c>
      <c r="L33" s="43"/>
      <c r="M33" s="50"/>
      <c r="N33" s="49"/>
      <c r="O33" s="13" t="s">
        <v>82</v>
      </c>
      <c r="P33" s="66" t="s">
        <v>83</v>
      </c>
    </row>
    <row r="34" spans="1:16" s="13" customFormat="1" ht="12.75">
      <c r="A34" s="13" t="s">
        <v>214</v>
      </c>
      <c r="B34" s="13" t="s">
        <v>188</v>
      </c>
      <c r="C34" s="39">
        <v>3984.6927419518015</v>
      </c>
      <c r="D34" s="40">
        <v>7648.5704457619231</v>
      </c>
      <c r="E34" s="42">
        <v>11897.776248962989</v>
      </c>
      <c r="F34" s="13">
        <v>1982</v>
      </c>
      <c r="G34" s="13">
        <v>3.04</v>
      </c>
      <c r="H34" s="39">
        <v>12113.465935533477</v>
      </c>
      <c r="I34" s="40">
        <v>23251.654155116248</v>
      </c>
      <c r="J34" s="42">
        <v>36169.239796847491</v>
      </c>
      <c r="K34" s="16" t="s">
        <v>138</v>
      </c>
      <c r="L34" s="46">
        <f>5250/2.47105</f>
        <v>2124.6029016005341</v>
      </c>
      <c r="M34" s="56"/>
      <c r="N34" s="49"/>
      <c r="O34" s="13" t="s">
        <v>240</v>
      </c>
      <c r="P34" s="65" t="s">
        <v>76</v>
      </c>
    </row>
    <row r="35" spans="1:16" s="13" customFormat="1" ht="12.75">
      <c r="A35" s="13" t="s">
        <v>214</v>
      </c>
      <c r="B35" s="13" t="s">
        <v>189</v>
      </c>
      <c r="C35" s="39">
        <v>6192.1014139444178</v>
      </c>
      <c r="D35" s="40">
        <v>6192.1014139444178</v>
      </c>
      <c r="E35" s="42">
        <v>6192.1014139444178</v>
      </c>
      <c r="F35" s="13">
        <v>1982</v>
      </c>
      <c r="G35" s="13">
        <v>3.04</v>
      </c>
      <c r="H35" s="39">
        <v>18823.988298391032</v>
      </c>
      <c r="I35" s="40">
        <v>18823.988298391032</v>
      </c>
      <c r="J35" s="42">
        <v>18823.988298391032</v>
      </c>
      <c r="K35" s="16" t="s">
        <v>138</v>
      </c>
      <c r="L35" s="46"/>
      <c r="M35" s="48">
        <v>12700000</v>
      </c>
      <c r="N35" s="49">
        <v>2051</v>
      </c>
      <c r="O35" s="13" t="s">
        <v>241</v>
      </c>
      <c r="P35" s="65" t="s">
        <v>76</v>
      </c>
    </row>
    <row r="36" spans="1:16" s="13" customFormat="1" ht="12.75">
      <c r="A36" s="13" t="s">
        <v>213</v>
      </c>
      <c r="B36" s="13" t="s">
        <v>179</v>
      </c>
      <c r="C36" s="39">
        <v>2500000</v>
      </c>
      <c r="D36" s="40">
        <v>4798720.3412423357</v>
      </c>
      <c r="E36" s="42">
        <v>7464676.086376965</v>
      </c>
      <c r="F36" s="13">
        <v>2019</v>
      </c>
      <c r="G36" s="13">
        <v>1.1499999999999999</v>
      </c>
      <c r="H36" s="39">
        <v>2875000</v>
      </c>
      <c r="I36" s="40">
        <v>5518528.3924286859</v>
      </c>
      <c r="J36" s="42">
        <v>8584377.4993335083</v>
      </c>
      <c r="K36" s="16" t="s">
        <v>222</v>
      </c>
      <c r="L36" s="46">
        <f>2500000/1.8755</f>
        <v>1332977.8725673154</v>
      </c>
      <c r="M36" s="51"/>
      <c r="N36" s="45"/>
      <c r="O36" s="13" t="s">
        <v>242</v>
      </c>
      <c r="P36" s="65" t="s">
        <v>125</v>
      </c>
    </row>
    <row r="37" spans="1:16" s="13" customFormat="1" ht="12.75">
      <c r="A37" s="13" t="s">
        <v>213</v>
      </c>
      <c r="B37" s="13" t="s">
        <v>180</v>
      </c>
      <c r="C37" s="39">
        <v>18000000</v>
      </c>
      <c r="D37" s="40">
        <v>34550786.456944816</v>
      </c>
      <c r="E37" s="42">
        <v>53745667.821914159</v>
      </c>
      <c r="F37" s="13">
        <v>2019</v>
      </c>
      <c r="G37" s="13">
        <v>1.1499999999999999</v>
      </c>
      <c r="H37" s="39">
        <v>20700000</v>
      </c>
      <c r="I37" s="40">
        <v>39733404.425486535</v>
      </c>
      <c r="J37" s="42">
        <v>61807517.995201275</v>
      </c>
      <c r="K37" s="16" t="s">
        <v>222</v>
      </c>
      <c r="L37" s="46">
        <f>18000000/1.8755</f>
        <v>9597440.6824846715</v>
      </c>
      <c r="M37" s="51"/>
      <c r="N37" s="45"/>
      <c r="O37" s="13" t="s">
        <v>243</v>
      </c>
      <c r="P37" s="66" t="s">
        <v>125</v>
      </c>
    </row>
    <row r="38" spans="1:16" s="13" customFormat="1" ht="12.75">
      <c r="A38" s="13" t="s">
        <v>213</v>
      </c>
      <c r="B38" s="13" t="s">
        <v>47</v>
      </c>
      <c r="C38" s="39">
        <v>1000000</v>
      </c>
      <c r="D38" s="40">
        <v>1500000</v>
      </c>
      <c r="E38" s="42">
        <v>2000000</v>
      </c>
      <c r="F38" s="13">
        <v>2018</v>
      </c>
      <c r="G38" s="13">
        <v>1.18</v>
      </c>
      <c r="H38" s="39">
        <v>1180000</v>
      </c>
      <c r="I38" s="40">
        <v>1770000</v>
      </c>
      <c r="J38" s="42">
        <v>2360000</v>
      </c>
      <c r="K38" s="16" t="s">
        <v>222</v>
      </c>
      <c r="L38" s="46"/>
      <c r="M38" s="51"/>
      <c r="N38" s="45"/>
      <c r="O38" s="47" t="s">
        <v>244</v>
      </c>
      <c r="P38" s="66" t="s">
        <v>48</v>
      </c>
    </row>
    <row r="39" spans="1:16" s="13" customFormat="1" ht="12.75">
      <c r="A39" s="13" t="s">
        <v>213</v>
      </c>
      <c r="B39" s="13" t="s">
        <v>111</v>
      </c>
      <c r="C39" s="39">
        <v>1850086.9749999999</v>
      </c>
      <c r="D39" s="40">
        <v>3551220</v>
      </c>
      <c r="E39" s="42">
        <v>5524120</v>
      </c>
      <c r="F39" s="13">
        <v>2022</v>
      </c>
      <c r="G39" s="13">
        <v>1</v>
      </c>
      <c r="H39" s="39">
        <v>1850086.9749999999</v>
      </c>
      <c r="I39" s="40">
        <v>3551220</v>
      </c>
      <c r="J39" s="42">
        <v>5524120</v>
      </c>
      <c r="K39" s="16" t="s">
        <v>222</v>
      </c>
      <c r="L39" s="46">
        <v>986450</v>
      </c>
      <c r="M39" s="51"/>
      <c r="N39" s="45"/>
      <c r="O39" s="13" t="s">
        <v>245</v>
      </c>
      <c r="P39" s="65" t="s">
        <v>124</v>
      </c>
    </row>
    <row r="40" spans="1:16" s="13" customFormat="1" ht="12.75">
      <c r="A40" s="13" t="s">
        <v>213</v>
      </c>
      <c r="B40" s="13" t="s">
        <v>148</v>
      </c>
      <c r="C40" s="39">
        <v>10150000</v>
      </c>
      <c r="D40" s="40">
        <v>20300000</v>
      </c>
      <c r="E40" s="42">
        <v>40600000</v>
      </c>
      <c r="F40" s="13">
        <v>2022</v>
      </c>
      <c r="G40" s="13">
        <v>1</v>
      </c>
      <c r="H40" s="39">
        <v>10150000</v>
      </c>
      <c r="I40" s="40">
        <v>20300000</v>
      </c>
      <c r="J40" s="42">
        <v>40600000</v>
      </c>
      <c r="K40" s="16" t="s">
        <v>223</v>
      </c>
      <c r="L40" s="46">
        <f>406000*50</f>
        <v>20300000</v>
      </c>
      <c r="M40" s="51"/>
      <c r="N40" s="45"/>
      <c r="O40" s="13" t="s">
        <v>246</v>
      </c>
      <c r="P40" s="72"/>
    </row>
    <row r="41" spans="1:16" s="13" customFormat="1" ht="12.75">
      <c r="A41" s="13" t="s">
        <v>212</v>
      </c>
      <c r="B41" s="15" t="s">
        <v>171</v>
      </c>
      <c r="C41" s="39">
        <v>5290.1081177083333</v>
      </c>
      <c r="D41" s="40">
        <v>10154.299772727274</v>
      </c>
      <c r="E41" s="42">
        <v>15795.577424242423</v>
      </c>
      <c r="F41" s="13">
        <v>2019</v>
      </c>
      <c r="G41" s="13">
        <v>1.1499999999999999</v>
      </c>
      <c r="H41" s="39">
        <v>6083.6243353645832</v>
      </c>
      <c r="I41" s="40">
        <v>11677.444738636364</v>
      </c>
      <c r="J41" s="42">
        <v>18164.914037878785</v>
      </c>
      <c r="K41" s="16" t="s">
        <v>223</v>
      </c>
      <c r="L41" s="57">
        <f>14892973/5280</f>
        <v>2820.6388257575759</v>
      </c>
      <c r="M41" s="58"/>
      <c r="N41" s="59"/>
      <c r="O41" s="15" t="s">
        <v>247</v>
      </c>
      <c r="P41" s="73" t="s">
        <v>125</v>
      </c>
    </row>
    <row r="42" spans="1:16" s="13" customFormat="1" ht="12.75">
      <c r="A42" s="13" t="s">
        <v>212</v>
      </c>
      <c r="B42" s="15" t="s">
        <v>172</v>
      </c>
      <c r="C42" s="39">
        <v>2508.0130854166669</v>
      </c>
      <c r="D42" s="40">
        <v>4814.1013636363641</v>
      </c>
      <c r="E42" s="42">
        <v>7488.6021212121213</v>
      </c>
      <c r="F42" s="13">
        <v>2019</v>
      </c>
      <c r="G42" s="13">
        <v>1.1499999999999999</v>
      </c>
      <c r="H42" s="39">
        <v>2884.2150482291668</v>
      </c>
      <c r="I42" s="40">
        <v>5536.2165681818187</v>
      </c>
      <c r="J42" s="42">
        <v>8611.8924393939396</v>
      </c>
      <c r="K42" s="16" t="s">
        <v>223</v>
      </c>
      <c r="L42" s="57">
        <f>7060682/5280</f>
        <v>1337.2503787878788</v>
      </c>
      <c r="M42" s="58"/>
      <c r="N42" s="59"/>
      <c r="O42" s="15" t="s">
        <v>248</v>
      </c>
      <c r="P42" s="73" t="s">
        <v>125</v>
      </c>
    </row>
    <row r="43" spans="1:16" s="13" customFormat="1" ht="12.75">
      <c r="A43" s="13" t="s">
        <v>212</v>
      </c>
      <c r="B43" s="17" t="s">
        <v>47</v>
      </c>
      <c r="C43" s="39">
        <v>647.69997927360066</v>
      </c>
      <c r="D43" s="40">
        <v>1295.3999585472013</v>
      </c>
      <c r="E43" s="42">
        <v>2590.7999170944026</v>
      </c>
      <c r="F43" s="13">
        <v>2018</v>
      </c>
      <c r="G43" s="13">
        <v>1.18</v>
      </c>
      <c r="H43" s="39">
        <v>764.28597554284875</v>
      </c>
      <c r="I43" s="40">
        <v>1528.5719510856975</v>
      </c>
      <c r="J43" s="42">
        <v>3057.143902171395</v>
      </c>
      <c r="K43" s="16" t="s">
        <v>223</v>
      </c>
      <c r="L43" s="60"/>
      <c r="M43" s="58"/>
      <c r="N43" s="59"/>
      <c r="O43" s="15" t="s">
        <v>181</v>
      </c>
      <c r="P43" s="73" t="s">
        <v>48</v>
      </c>
    </row>
    <row r="44" spans="1:16" s="13" customFormat="1" ht="12.75">
      <c r="A44" s="13" t="s">
        <v>212</v>
      </c>
      <c r="B44" s="15" t="s">
        <v>175</v>
      </c>
      <c r="C44" s="39">
        <v>1569.3916071428571</v>
      </c>
      <c r="D44" s="40">
        <v>3012.4285714285716</v>
      </c>
      <c r="E44" s="42">
        <v>4686</v>
      </c>
      <c r="F44" s="13">
        <v>2014</v>
      </c>
      <c r="G44" s="13">
        <v>1.24</v>
      </c>
      <c r="H44" s="39">
        <v>1946.0455928571428</v>
      </c>
      <c r="I44" s="40">
        <v>3735.4114285714286</v>
      </c>
      <c r="J44" s="42">
        <v>5810.64</v>
      </c>
      <c r="K44" s="16" t="s">
        <v>223</v>
      </c>
      <c r="L44" s="57">
        <f>2928750/3500</f>
        <v>836.78571428571433</v>
      </c>
      <c r="M44" s="61">
        <v>2187500</v>
      </c>
      <c r="N44" s="62">
        <v>3500</v>
      </c>
      <c r="O44" s="15" t="s">
        <v>249</v>
      </c>
      <c r="P44" s="73" t="s">
        <v>55</v>
      </c>
    </row>
    <row r="45" spans="1:16" s="13" customFormat="1" ht="12.75">
      <c r="A45" s="13" t="s">
        <v>212</v>
      </c>
      <c r="B45" s="15" t="s">
        <v>173</v>
      </c>
      <c r="C45" s="39">
        <v>7989.63</v>
      </c>
      <c r="D45" s="40">
        <v>15336</v>
      </c>
      <c r="E45" s="42">
        <v>23856</v>
      </c>
      <c r="F45" s="13">
        <v>2021</v>
      </c>
      <c r="G45" s="13">
        <v>1.0900000000000001</v>
      </c>
      <c r="H45" s="39">
        <v>8708.6967000000004</v>
      </c>
      <c r="I45" s="40">
        <v>16716.240000000002</v>
      </c>
      <c r="J45" s="42">
        <v>26003.040000000001</v>
      </c>
      <c r="K45" s="16" t="s">
        <v>223</v>
      </c>
      <c r="L45" s="57">
        <f>2800+1460</f>
        <v>4260</v>
      </c>
      <c r="M45" s="58"/>
      <c r="N45" s="59"/>
      <c r="O45" s="15" t="s">
        <v>250</v>
      </c>
      <c r="P45" s="73" t="s">
        <v>124</v>
      </c>
    </row>
    <row r="46" spans="1:16" s="13" customFormat="1" ht="12.75">
      <c r="A46" s="13" t="s">
        <v>212</v>
      </c>
      <c r="B46" s="15" t="s">
        <v>174</v>
      </c>
      <c r="C46" s="39">
        <v>14553.88</v>
      </c>
      <c r="D46" s="40">
        <v>27936</v>
      </c>
      <c r="E46" s="42">
        <v>43456</v>
      </c>
      <c r="F46" s="13">
        <v>2021</v>
      </c>
      <c r="G46" s="13">
        <v>1.0900000000000001</v>
      </c>
      <c r="H46" s="39">
        <v>15863.7292</v>
      </c>
      <c r="I46" s="40">
        <v>30450.240000000002</v>
      </c>
      <c r="J46" s="42">
        <v>47367.040000000001</v>
      </c>
      <c r="K46" s="16" t="s">
        <v>223</v>
      </c>
      <c r="L46" s="57">
        <f>2800+1460+3500</f>
        <v>7760</v>
      </c>
      <c r="M46" s="58"/>
      <c r="N46" s="59"/>
      <c r="O46" s="15" t="s">
        <v>251</v>
      </c>
      <c r="P46" s="73" t="s">
        <v>124</v>
      </c>
    </row>
    <row r="47" spans="1:16" s="13" customFormat="1" ht="12.75">
      <c r="A47" s="13" t="s">
        <v>212</v>
      </c>
      <c r="B47" s="15" t="s">
        <v>145</v>
      </c>
      <c r="C47" s="39">
        <v>23223.600000000002</v>
      </c>
      <c r="D47" s="40">
        <v>25804</v>
      </c>
      <c r="E47" s="42">
        <v>29674.6</v>
      </c>
      <c r="F47" s="13">
        <v>2022</v>
      </c>
      <c r="G47" s="13">
        <v>1</v>
      </c>
      <c r="H47" s="39">
        <v>23223.600000000002</v>
      </c>
      <c r="I47" s="40">
        <v>25804</v>
      </c>
      <c r="J47" s="42">
        <v>29674.6</v>
      </c>
      <c r="K47" s="16" t="s">
        <v>223</v>
      </c>
      <c r="L47" s="63"/>
      <c r="M47" s="58"/>
      <c r="N47" s="59"/>
      <c r="O47" s="15" t="s">
        <v>252</v>
      </c>
      <c r="P47" s="74"/>
    </row>
    <row r="48" spans="1:16" s="13" customFormat="1" ht="12.75">
      <c r="A48" s="13" t="s">
        <v>212</v>
      </c>
      <c r="B48" s="15" t="s">
        <v>146</v>
      </c>
      <c r="C48" s="39">
        <v>29744</v>
      </c>
      <c r="D48" s="40">
        <v>29745</v>
      </c>
      <c r="E48" s="42">
        <v>29746</v>
      </c>
      <c r="F48" s="13">
        <v>2005</v>
      </c>
      <c r="G48" s="13">
        <v>1.52</v>
      </c>
      <c r="H48" s="39">
        <v>45210.879999999997</v>
      </c>
      <c r="I48" s="40">
        <v>45212.4</v>
      </c>
      <c r="J48" s="42">
        <v>45213.919999999998</v>
      </c>
      <c r="K48" s="16" t="s">
        <v>223</v>
      </c>
      <c r="L48" s="63"/>
      <c r="M48" s="58"/>
      <c r="N48" s="59"/>
      <c r="O48" s="15" t="s">
        <v>144</v>
      </c>
      <c r="P48" s="74"/>
    </row>
    <row r="49" spans="1:17" s="13" customFormat="1" ht="12.75">
      <c r="A49" s="13" t="s">
        <v>87</v>
      </c>
      <c r="B49" s="13" t="s">
        <v>167</v>
      </c>
      <c r="C49" s="39">
        <v>854.19434374999992</v>
      </c>
      <c r="D49" s="40">
        <v>1639.6159090909091</v>
      </c>
      <c r="E49" s="42">
        <v>2550.5136363636361</v>
      </c>
      <c r="F49" s="13">
        <v>2019</v>
      </c>
      <c r="G49" s="13">
        <v>1.1499999999999999</v>
      </c>
      <c r="H49" s="39">
        <v>982.32349531249986</v>
      </c>
      <c r="I49" s="40">
        <v>1885.5582954545453</v>
      </c>
      <c r="J49" s="42">
        <v>2933.0906818181811</v>
      </c>
      <c r="K49" s="16" t="s">
        <v>223</v>
      </c>
      <c r="L49" s="46">
        <f>2404770/5280</f>
        <v>455.44886363636363</v>
      </c>
      <c r="M49" s="58"/>
      <c r="N49" s="59"/>
      <c r="O49" s="51" t="s">
        <v>253</v>
      </c>
      <c r="P49" s="65" t="s">
        <v>125</v>
      </c>
      <c r="Q49" s="18"/>
    </row>
    <row r="50" spans="1:17" s="13" customFormat="1" ht="12.75">
      <c r="A50" s="13" t="s">
        <v>87</v>
      </c>
      <c r="B50" s="13" t="s">
        <v>168</v>
      </c>
      <c r="C50" s="39">
        <v>1132.9202843749999</v>
      </c>
      <c r="D50" s="40">
        <v>2174.6270454545456</v>
      </c>
      <c r="E50" s="42">
        <v>3382.7531818181815</v>
      </c>
      <c r="F50" s="13">
        <v>2019</v>
      </c>
      <c r="G50" s="13">
        <v>1.1499999999999999</v>
      </c>
      <c r="H50" s="39">
        <v>1302.8583270312499</v>
      </c>
      <c r="I50" s="40">
        <v>2500.8211022727273</v>
      </c>
      <c r="J50" s="42">
        <v>3890.1661590909084</v>
      </c>
      <c r="K50" s="16" t="s">
        <v>223</v>
      </c>
      <c r="L50" s="46">
        <f>3189453/5280</f>
        <v>604.06306818181815</v>
      </c>
      <c r="M50" s="58"/>
      <c r="N50" s="59"/>
      <c r="O50" s="51" t="s">
        <v>254</v>
      </c>
      <c r="P50" s="65" t="s">
        <v>125</v>
      </c>
      <c r="Q50" s="19"/>
    </row>
    <row r="51" spans="1:17" s="13" customFormat="1" ht="12.75">
      <c r="A51" s="13" t="s">
        <v>87</v>
      </c>
      <c r="B51" s="13" t="s">
        <v>169</v>
      </c>
      <c r="C51" s="39">
        <v>2094.2706812500001</v>
      </c>
      <c r="D51" s="40">
        <v>4019.9277272727277</v>
      </c>
      <c r="E51" s="42">
        <v>6253.2209090909091</v>
      </c>
      <c r="F51" s="13">
        <v>2019</v>
      </c>
      <c r="G51" s="13">
        <v>1.1499999999999999</v>
      </c>
      <c r="H51" s="39">
        <v>2408.4112834375001</v>
      </c>
      <c r="I51" s="40">
        <v>4622.9168863636369</v>
      </c>
      <c r="J51" s="42">
        <v>7191.2040454545449</v>
      </c>
      <c r="K51" s="16" t="s">
        <v>223</v>
      </c>
      <c r="L51" s="46">
        <f>5895894/5280</f>
        <v>1116.6465909090909</v>
      </c>
      <c r="M51" s="58"/>
      <c r="N51" s="59"/>
      <c r="O51" s="51" t="s">
        <v>255</v>
      </c>
      <c r="P51" s="65" t="s">
        <v>125</v>
      </c>
      <c r="Q51" s="19"/>
    </row>
    <row r="52" spans="1:17" s="13" customFormat="1" ht="12.75">
      <c r="A52" s="13" t="s">
        <v>87</v>
      </c>
      <c r="B52" s="13" t="s">
        <v>170</v>
      </c>
      <c r="C52" s="39">
        <v>3231.7852302083334</v>
      </c>
      <c r="D52" s="40">
        <v>6203.3734090909093</v>
      </c>
      <c r="E52" s="42">
        <v>9649.691969696969</v>
      </c>
      <c r="F52" s="13">
        <v>2019</v>
      </c>
      <c r="G52" s="13">
        <v>1.1499999999999999</v>
      </c>
      <c r="H52" s="39">
        <v>3716.553014739583</v>
      </c>
      <c r="I52" s="40">
        <v>7133.8794204545447</v>
      </c>
      <c r="J52" s="42">
        <v>11097.145765151514</v>
      </c>
      <c r="K52" s="16" t="s">
        <v>223</v>
      </c>
      <c r="L52" s="46">
        <f>9098281/5280</f>
        <v>1723.1592803030303</v>
      </c>
      <c r="M52" s="58"/>
      <c r="N52" s="59"/>
      <c r="O52" s="51" t="s">
        <v>256</v>
      </c>
      <c r="P52" s="65" t="s">
        <v>125</v>
      </c>
      <c r="Q52" s="19"/>
    </row>
    <row r="53" spans="1:17" s="13" customFormat="1" ht="12.75">
      <c r="A53" s="13" t="s">
        <v>87</v>
      </c>
      <c r="B53" s="13" t="s">
        <v>47</v>
      </c>
      <c r="C53" s="39">
        <v>838.19997317760078</v>
      </c>
      <c r="D53" s="40">
        <v>1676.3999463552016</v>
      </c>
      <c r="E53" s="42">
        <v>3352.7998927104031</v>
      </c>
      <c r="F53" s="13">
        <v>2018</v>
      </c>
      <c r="G53" s="13">
        <v>1.18</v>
      </c>
      <c r="H53" s="39">
        <v>989.07596834956883</v>
      </c>
      <c r="I53" s="40">
        <v>1978.1519366991377</v>
      </c>
      <c r="J53" s="42">
        <v>3956.3038733982753</v>
      </c>
      <c r="K53" s="16" t="s">
        <v>223</v>
      </c>
      <c r="L53" s="43"/>
      <c r="M53" s="58"/>
      <c r="N53" s="59"/>
      <c r="O53" s="47" t="s">
        <v>257</v>
      </c>
      <c r="P53" s="66" t="s">
        <v>48</v>
      </c>
    </row>
    <row r="54" spans="1:17" s="13" customFormat="1" ht="12.75">
      <c r="A54" s="13" t="s">
        <v>87</v>
      </c>
      <c r="B54" s="13" t="s">
        <v>166</v>
      </c>
      <c r="C54" s="39">
        <v>1681</v>
      </c>
      <c r="D54" s="40">
        <v>3362</v>
      </c>
      <c r="E54" s="42">
        <v>6724</v>
      </c>
      <c r="F54" s="13">
        <v>2020</v>
      </c>
      <c r="G54" s="13">
        <v>1.1399999999999999</v>
      </c>
      <c r="H54" s="39">
        <v>1916.34</v>
      </c>
      <c r="I54" s="40">
        <v>3832.68</v>
      </c>
      <c r="J54" s="42">
        <v>7665.36</v>
      </c>
      <c r="K54" s="16" t="s">
        <v>223</v>
      </c>
      <c r="L54" s="43"/>
      <c r="M54" s="58"/>
      <c r="N54" s="59"/>
      <c r="O54" s="47" t="s">
        <v>258</v>
      </c>
      <c r="P54" s="66" t="s">
        <v>54</v>
      </c>
    </row>
    <row r="55" spans="1:17" s="13" customFormat="1" ht="12.75">
      <c r="A55" s="13" t="s">
        <v>87</v>
      </c>
      <c r="B55" s="13" t="s">
        <v>165</v>
      </c>
      <c r="C55" s="39">
        <v>1994</v>
      </c>
      <c r="D55" s="40">
        <v>3988</v>
      </c>
      <c r="E55" s="42">
        <v>7976</v>
      </c>
      <c r="F55" s="13">
        <v>2020</v>
      </c>
      <c r="G55" s="13">
        <v>1.1399999999999999</v>
      </c>
      <c r="H55" s="39">
        <v>2273.16</v>
      </c>
      <c r="I55" s="40">
        <v>4546.32</v>
      </c>
      <c r="J55" s="42">
        <v>9092.64</v>
      </c>
      <c r="K55" s="16" t="s">
        <v>223</v>
      </c>
      <c r="L55" s="43"/>
      <c r="M55" s="58"/>
      <c r="N55" s="59"/>
      <c r="O55" s="47" t="s">
        <v>258</v>
      </c>
      <c r="P55" s="66" t="s">
        <v>54</v>
      </c>
    </row>
    <row r="56" spans="1:17" s="13" customFormat="1" ht="12.75">
      <c r="A56" s="13" t="s">
        <v>87</v>
      </c>
      <c r="B56" s="13" t="s">
        <v>75</v>
      </c>
      <c r="C56" s="39">
        <v>1742.4242424242425</v>
      </c>
      <c r="D56" s="40">
        <v>1936.026936026936</v>
      </c>
      <c r="E56" s="42">
        <v>2226.4309764309764</v>
      </c>
      <c r="F56" s="13">
        <v>2022</v>
      </c>
      <c r="G56" s="13">
        <v>1</v>
      </c>
      <c r="H56" s="39">
        <v>1742.4242424242425</v>
      </c>
      <c r="I56" s="40">
        <v>1936.026936026936</v>
      </c>
      <c r="J56" s="42">
        <v>2226.4309764309764</v>
      </c>
      <c r="K56" s="16" t="s">
        <v>223</v>
      </c>
      <c r="L56" s="43"/>
      <c r="M56" s="58"/>
      <c r="N56" s="59"/>
      <c r="O56" s="13" t="s">
        <v>259</v>
      </c>
      <c r="P56" s="66" t="s">
        <v>121</v>
      </c>
      <c r="Q56" s="14" t="s">
        <v>120</v>
      </c>
    </row>
    <row r="57" spans="1:17" s="13" customFormat="1" ht="12.75">
      <c r="A57" s="13" t="s">
        <v>87</v>
      </c>
      <c r="B57" s="13" t="s">
        <v>109</v>
      </c>
      <c r="C57" s="39">
        <v>5251.4</v>
      </c>
      <c r="D57" s="40">
        <v>10080</v>
      </c>
      <c r="E57" s="42">
        <v>15679.999999999998</v>
      </c>
      <c r="F57" s="13">
        <v>2020</v>
      </c>
      <c r="G57" s="13">
        <v>1.1399999999999999</v>
      </c>
      <c r="H57" s="39">
        <v>5986.5959999999986</v>
      </c>
      <c r="I57" s="40">
        <v>11491.199999999999</v>
      </c>
      <c r="J57" s="42">
        <v>17875.199999999997</v>
      </c>
      <c r="K57" s="16" t="s">
        <v>223</v>
      </c>
      <c r="L57" s="46">
        <v>2800</v>
      </c>
      <c r="M57" s="58"/>
      <c r="N57" s="59"/>
      <c r="O57" s="13" t="s">
        <v>260</v>
      </c>
      <c r="P57" s="66" t="s">
        <v>124</v>
      </c>
    </row>
    <row r="58" spans="1:17" s="13" customFormat="1" ht="12.75">
      <c r="A58" s="13" t="s">
        <v>87</v>
      </c>
      <c r="B58" s="13" t="s">
        <v>143</v>
      </c>
      <c r="C58" s="39">
        <v>11500</v>
      </c>
      <c r="D58" s="40">
        <v>23000</v>
      </c>
      <c r="E58" s="42">
        <v>46000</v>
      </c>
      <c r="F58" s="13">
        <v>2022</v>
      </c>
      <c r="G58" s="13">
        <v>1</v>
      </c>
      <c r="H58" s="39">
        <v>11500</v>
      </c>
      <c r="I58" s="40">
        <v>23000</v>
      </c>
      <c r="J58" s="42">
        <v>46000</v>
      </c>
      <c r="K58" s="16" t="s">
        <v>223</v>
      </c>
      <c r="L58" s="43"/>
      <c r="M58" s="58"/>
      <c r="N58" s="59"/>
      <c r="O58" s="13" t="s">
        <v>261</v>
      </c>
      <c r="P58" s="72"/>
    </row>
    <row r="59" spans="1:17" s="13" customFormat="1" ht="12.75">
      <c r="A59" s="13" t="s">
        <v>210</v>
      </c>
      <c r="B59" s="13" t="s">
        <v>190</v>
      </c>
      <c r="C59" s="39">
        <v>698.94485833333329</v>
      </c>
      <c r="D59" s="40">
        <v>1341.6163636363638</v>
      </c>
      <c r="E59" s="42">
        <v>2086.9587878787879</v>
      </c>
      <c r="F59" s="13">
        <v>2019</v>
      </c>
      <c r="G59" s="13">
        <v>1.1499999999999999</v>
      </c>
      <c r="H59" s="39">
        <v>803.78658708333319</v>
      </c>
      <c r="I59" s="40">
        <v>1542.8588181818182</v>
      </c>
      <c r="J59" s="42">
        <v>2400.002606060606</v>
      </c>
      <c r="K59" s="16" t="s">
        <v>223</v>
      </c>
      <c r="L59" s="46">
        <f>1967704/N59</f>
        <v>372.67121212121214</v>
      </c>
      <c r="M59" s="50"/>
      <c r="N59" s="45">
        <v>5280</v>
      </c>
      <c r="O59" s="13" t="s">
        <v>262</v>
      </c>
      <c r="P59" s="65" t="s">
        <v>125</v>
      </c>
    </row>
    <row r="60" spans="1:17" s="13" customFormat="1" ht="12.75">
      <c r="A60" s="13" t="s">
        <v>210</v>
      </c>
      <c r="B60" s="13" t="s">
        <v>84</v>
      </c>
      <c r="C60" s="39">
        <v>1058.2386363636365</v>
      </c>
      <c r="D60" s="40">
        <v>1587.3579545454547</v>
      </c>
      <c r="E60" s="42">
        <v>2116.477272727273</v>
      </c>
      <c r="F60" s="13">
        <v>2009</v>
      </c>
      <c r="G60" s="13">
        <v>1.38</v>
      </c>
      <c r="H60" s="39">
        <v>1460.3693181818182</v>
      </c>
      <c r="I60" s="40">
        <v>2190.5539772727275</v>
      </c>
      <c r="J60" s="42">
        <v>2920.7386363636365</v>
      </c>
      <c r="K60" s="16" t="s">
        <v>223</v>
      </c>
      <c r="L60" s="43"/>
      <c r="M60" s="51" t="s">
        <v>191</v>
      </c>
      <c r="N60" s="45">
        <v>5280</v>
      </c>
      <c r="O60" s="47" t="s">
        <v>238</v>
      </c>
      <c r="P60" s="66" t="s">
        <v>85</v>
      </c>
    </row>
    <row r="61" spans="1:17" s="13" customFormat="1" ht="12.75">
      <c r="A61" s="13" t="s">
        <v>210</v>
      </c>
      <c r="B61" s="13" t="s">
        <v>89</v>
      </c>
      <c r="C61" s="39">
        <v>3375.9</v>
      </c>
      <c r="D61" s="40">
        <v>6480</v>
      </c>
      <c r="E61" s="42">
        <v>10080</v>
      </c>
      <c r="F61" s="13">
        <v>2022</v>
      </c>
      <c r="G61" s="13">
        <v>1</v>
      </c>
      <c r="H61" s="39">
        <v>3375.9</v>
      </c>
      <c r="I61" s="40">
        <v>6480</v>
      </c>
      <c r="J61" s="42">
        <v>10080</v>
      </c>
      <c r="K61" s="16" t="s">
        <v>223</v>
      </c>
      <c r="L61" s="46">
        <v>1800</v>
      </c>
      <c r="M61" s="51"/>
      <c r="N61" s="45"/>
      <c r="O61" s="13" t="s">
        <v>263</v>
      </c>
      <c r="P61" s="66" t="s">
        <v>124</v>
      </c>
    </row>
    <row r="62" spans="1:17" s="13" customFormat="1" ht="12.75">
      <c r="A62" s="13" t="s">
        <v>210</v>
      </c>
      <c r="B62" s="13" t="s">
        <v>90</v>
      </c>
      <c r="C62" s="39">
        <v>1534.1589999999999</v>
      </c>
      <c r="D62" s="40">
        <v>2944.8</v>
      </c>
      <c r="E62" s="42">
        <v>4580.7999999999993</v>
      </c>
      <c r="F62" s="13">
        <v>2022</v>
      </c>
      <c r="G62" s="13">
        <v>1</v>
      </c>
      <c r="H62" s="39">
        <v>1534.1589999999999</v>
      </c>
      <c r="I62" s="40">
        <v>2944.8</v>
      </c>
      <c r="J62" s="42">
        <v>4580.7999999999993</v>
      </c>
      <c r="K62" s="16" t="s">
        <v>223</v>
      </c>
      <c r="L62" s="46">
        <v>818</v>
      </c>
      <c r="M62" s="51"/>
      <c r="N62" s="45"/>
      <c r="O62" s="13" t="s">
        <v>264</v>
      </c>
      <c r="P62" s="66" t="s">
        <v>124</v>
      </c>
    </row>
    <row r="63" spans="1:17" s="13" customFormat="1" ht="12.75">
      <c r="A63" s="13" t="s">
        <v>192</v>
      </c>
      <c r="B63" s="13" t="s">
        <v>56</v>
      </c>
      <c r="C63" s="39">
        <v>6577.2243730378577</v>
      </c>
      <c r="D63" s="40">
        <v>12624.904155124656</v>
      </c>
      <c r="E63" s="42">
        <v>19638.739796860573</v>
      </c>
      <c r="F63" s="13">
        <v>2020</v>
      </c>
      <c r="G63" s="13">
        <v>1.1399999999999999</v>
      </c>
      <c r="H63" s="39">
        <v>7498.0357852631569</v>
      </c>
      <c r="I63" s="40">
        <v>14392.390736842106</v>
      </c>
      <c r="J63" s="42">
        <v>22388.16336842105</v>
      </c>
      <c r="K63" s="16" t="s">
        <v>223</v>
      </c>
      <c r="L63" s="57">
        <f>M63/1083</f>
        <v>3506.9178208679596</v>
      </c>
      <c r="M63" s="61">
        <f>SUM(330320,139885,2391597,90899,35283,121785,45208,79238,228092,335685)</f>
        <v>3797992</v>
      </c>
      <c r="N63" s="45">
        <v>1083</v>
      </c>
      <c r="O63" s="47" t="s">
        <v>265</v>
      </c>
      <c r="P63" s="65" t="s">
        <v>57</v>
      </c>
    </row>
    <row r="64" spans="1:17" s="13" customFormat="1" ht="12.75">
      <c r="A64" s="13" t="s">
        <v>192</v>
      </c>
      <c r="B64" s="13" t="s">
        <v>58</v>
      </c>
      <c r="C64" s="39">
        <v>3352.7998927104031</v>
      </c>
      <c r="D64" s="40">
        <v>6705.5997854208063</v>
      </c>
      <c r="E64" s="42">
        <v>13411.199570841613</v>
      </c>
      <c r="F64" s="13">
        <v>2018</v>
      </c>
      <c r="G64" s="13">
        <v>1.18</v>
      </c>
      <c r="H64" s="39">
        <v>3956.3038733982753</v>
      </c>
      <c r="I64" s="40">
        <v>7912.6077467965506</v>
      </c>
      <c r="J64" s="42">
        <v>15825.215493593101</v>
      </c>
      <c r="K64" s="16" t="s">
        <v>223</v>
      </c>
      <c r="L64" s="63"/>
      <c r="M64" s="64"/>
      <c r="N64" s="59"/>
      <c r="O64" s="13" t="s">
        <v>266</v>
      </c>
      <c r="P64" s="65" t="s">
        <v>48</v>
      </c>
    </row>
    <row r="65" spans="1:16" s="13" customFormat="1" ht="12.75">
      <c r="A65" s="13" t="s">
        <v>192</v>
      </c>
      <c r="B65" s="13" t="s">
        <v>176</v>
      </c>
      <c r="C65" s="39">
        <v>4000</v>
      </c>
      <c r="D65" s="40">
        <v>8000</v>
      </c>
      <c r="E65" s="42">
        <v>16000</v>
      </c>
      <c r="F65" s="13">
        <v>2018</v>
      </c>
      <c r="G65" s="13">
        <v>1.18</v>
      </c>
      <c r="H65" s="39">
        <v>4720</v>
      </c>
      <c r="I65" s="40">
        <v>9440</v>
      </c>
      <c r="J65" s="42">
        <v>18880</v>
      </c>
      <c r="K65" s="16" t="s">
        <v>223</v>
      </c>
      <c r="L65" s="63"/>
      <c r="M65" s="64"/>
      <c r="N65" s="59"/>
      <c r="O65" s="13" t="s">
        <v>275</v>
      </c>
      <c r="P65" s="65"/>
    </row>
    <row r="66" spans="1:16" s="13" customFormat="1" ht="12.75">
      <c r="A66" s="13" t="s">
        <v>192</v>
      </c>
      <c r="B66" s="13" t="s">
        <v>177</v>
      </c>
      <c r="C66" s="39">
        <v>14240</v>
      </c>
      <c r="D66" s="40">
        <v>17800</v>
      </c>
      <c r="E66" s="42">
        <v>23140</v>
      </c>
      <c r="F66" s="13">
        <v>2021</v>
      </c>
      <c r="G66" s="13">
        <v>1.0900000000000001</v>
      </c>
      <c r="H66" s="39">
        <v>15521.6</v>
      </c>
      <c r="I66" s="40">
        <v>19402</v>
      </c>
      <c r="J66" s="42">
        <v>25222.600000000002</v>
      </c>
      <c r="K66" s="16" t="s">
        <v>223</v>
      </c>
      <c r="L66" s="63"/>
      <c r="M66" s="64"/>
      <c r="N66" s="59"/>
      <c r="O66" s="47" t="s">
        <v>267</v>
      </c>
      <c r="P66" s="66" t="s">
        <v>51</v>
      </c>
    </row>
    <row r="67" spans="1:16" s="13" customFormat="1" ht="12.75">
      <c r="A67" s="13" t="s">
        <v>192</v>
      </c>
      <c r="B67" s="13" t="s">
        <v>92</v>
      </c>
      <c r="C67" s="39">
        <v>6564.25</v>
      </c>
      <c r="D67" s="40">
        <v>12600</v>
      </c>
      <c r="E67" s="42">
        <v>19600</v>
      </c>
      <c r="F67" s="13">
        <v>2022</v>
      </c>
      <c r="G67" s="13">
        <v>1</v>
      </c>
      <c r="H67" s="39">
        <v>6564.25</v>
      </c>
      <c r="I67" s="40">
        <v>12600</v>
      </c>
      <c r="J67" s="42">
        <v>19600</v>
      </c>
      <c r="K67" s="16" t="s">
        <v>223</v>
      </c>
      <c r="L67" s="57">
        <v>3500</v>
      </c>
      <c r="M67" s="64"/>
      <c r="N67" s="59"/>
      <c r="O67" s="13" t="s">
        <v>268</v>
      </c>
      <c r="P67" s="66" t="s">
        <v>124</v>
      </c>
    </row>
    <row r="68" spans="1:16" s="13" customFormat="1" ht="12.75">
      <c r="A68" s="13" t="s">
        <v>192</v>
      </c>
      <c r="B68" s="13" t="s">
        <v>147</v>
      </c>
      <c r="C68" s="39">
        <v>11000</v>
      </c>
      <c r="D68" s="40">
        <v>22000</v>
      </c>
      <c r="E68" s="42">
        <v>44000</v>
      </c>
      <c r="F68" s="13">
        <v>2022</v>
      </c>
      <c r="G68" s="13">
        <v>1</v>
      </c>
      <c r="H68" s="39">
        <v>11000</v>
      </c>
      <c r="I68" s="40">
        <v>22000</v>
      </c>
      <c r="J68" s="42">
        <v>44000</v>
      </c>
      <c r="K68" s="16" t="s">
        <v>223</v>
      </c>
      <c r="L68" s="63"/>
      <c r="M68" s="64"/>
      <c r="N68" s="59"/>
      <c r="O68" s="47" t="s">
        <v>261</v>
      </c>
      <c r="P68" s="72"/>
    </row>
    <row r="69" spans="1:16" s="13" customFormat="1" ht="12.75">
      <c r="A69" s="13" t="s">
        <v>192</v>
      </c>
      <c r="B69" s="13" t="s">
        <v>81</v>
      </c>
      <c r="C69" s="39">
        <v>1650</v>
      </c>
      <c r="D69" s="40">
        <v>3300</v>
      </c>
      <c r="E69" s="42">
        <v>6600</v>
      </c>
      <c r="F69" s="13">
        <v>2021</v>
      </c>
      <c r="G69" s="13">
        <v>1.0900000000000001</v>
      </c>
      <c r="H69" s="39">
        <v>1798.5000000000002</v>
      </c>
      <c r="I69" s="40">
        <v>3597.0000000000005</v>
      </c>
      <c r="J69" s="42">
        <v>7194.0000000000009</v>
      </c>
      <c r="K69" s="16" t="s">
        <v>223</v>
      </c>
      <c r="L69" s="63"/>
      <c r="M69" s="61">
        <f>2200*1.25</f>
        <v>2750</v>
      </c>
      <c r="N69" s="59"/>
      <c r="O69" s="13" t="s">
        <v>269</v>
      </c>
      <c r="P69" s="66" t="s">
        <v>80</v>
      </c>
    </row>
    <row r="70" spans="1:16" s="13" customFormat="1" ht="12.75">
      <c r="A70" s="13" t="s">
        <v>192</v>
      </c>
      <c r="B70" s="13" t="s">
        <v>187</v>
      </c>
      <c r="C70" s="39">
        <v>337.59</v>
      </c>
      <c r="D70" s="40">
        <v>648</v>
      </c>
      <c r="E70" s="42">
        <v>1007.9999999999999</v>
      </c>
      <c r="F70" s="13">
        <v>2017</v>
      </c>
      <c r="G70" s="13">
        <v>1.21</v>
      </c>
      <c r="H70" s="39">
        <v>408.48389999999995</v>
      </c>
      <c r="I70" s="40">
        <v>784.07999999999993</v>
      </c>
      <c r="J70" s="42">
        <v>1219.6799999999998</v>
      </c>
      <c r="K70" s="16" t="s">
        <v>223</v>
      </c>
      <c r="L70" s="57">
        <v>180</v>
      </c>
      <c r="M70" s="64"/>
      <c r="N70" s="59"/>
      <c r="O70" s="13" t="s">
        <v>270</v>
      </c>
      <c r="P70" s="69" t="s">
        <v>66</v>
      </c>
    </row>
    <row r="71" spans="1:16" s="13" customFormat="1" ht="12.75">
      <c r="A71" s="13" t="s">
        <v>28</v>
      </c>
      <c r="B71" s="13" t="s">
        <v>47</v>
      </c>
      <c r="C71" s="39">
        <v>89.915997122688083</v>
      </c>
      <c r="D71" s="40">
        <v>179.83199424537617</v>
      </c>
      <c r="E71" s="42">
        <v>359.66398849075233</v>
      </c>
      <c r="F71" s="13">
        <v>2018</v>
      </c>
      <c r="G71" s="13">
        <v>1.18</v>
      </c>
      <c r="H71" s="39">
        <v>106.10087660477193</v>
      </c>
      <c r="I71" s="40">
        <v>212.20175320954385</v>
      </c>
      <c r="J71" s="42">
        <v>424.40350641908771</v>
      </c>
      <c r="K71" s="16" t="s">
        <v>223</v>
      </c>
      <c r="L71" s="43"/>
      <c r="M71" s="44">
        <v>590000</v>
      </c>
      <c r="N71" s="45">
        <v>3280.84</v>
      </c>
      <c r="O71" s="13" t="s">
        <v>271</v>
      </c>
      <c r="P71" s="65" t="s">
        <v>48</v>
      </c>
    </row>
    <row r="72" spans="1:16" s="13" customFormat="1" ht="12.75">
      <c r="A72" s="13" t="s">
        <v>27</v>
      </c>
      <c r="B72" s="13" t="s">
        <v>130</v>
      </c>
      <c r="C72" s="39">
        <v>4360.5438937499994</v>
      </c>
      <c r="D72" s="40">
        <v>8370.0122727272719</v>
      </c>
      <c r="E72" s="42">
        <v>13020.019090909089</v>
      </c>
      <c r="F72" s="13">
        <v>2019</v>
      </c>
      <c r="G72" s="13">
        <v>1.1499999999999999</v>
      </c>
      <c r="H72" s="39">
        <v>5014.6254778124985</v>
      </c>
      <c r="I72" s="40">
        <v>9625.5141136363618</v>
      </c>
      <c r="J72" s="42">
        <v>14973.021954545451</v>
      </c>
      <c r="K72" s="16" t="s">
        <v>223</v>
      </c>
      <c r="L72" s="46">
        <f>12276018/5280</f>
        <v>2325.0034090909089</v>
      </c>
      <c r="M72" s="56"/>
      <c r="N72" s="49"/>
      <c r="O72" s="13" t="s">
        <v>272</v>
      </c>
      <c r="P72" s="68" t="s">
        <v>125</v>
      </c>
    </row>
    <row r="73" spans="1:16" s="13" customFormat="1" ht="12.75">
      <c r="A73" s="13" t="s">
        <v>27</v>
      </c>
      <c r="B73" s="13" t="s">
        <v>131</v>
      </c>
      <c r="C73" s="39">
        <v>6258.9917729166664</v>
      </c>
      <c r="D73" s="40">
        <v>12014.060454545455</v>
      </c>
      <c r="E73" s="42">
        <v>18688.538484848483</v>
      </c>
      <c r="F73" s="13">
        <v>2019</v>
      </c>
      <c r="G73" s="13">
        <v>1.1499999999999999</v>
      </c>
      <c r="H73" s="39">
        <v>7197.840538854166</v>
      </c>
      <c r="I73" s="40">
        <v>13816.169522727272</v>
      </c>
      <c r="J73" s="42">
        <v>21491.819257575753</v>
      </c>
      <c r="K73" s="16" t="s">
        <v>223</v>
      </c>
      <c r="L73" s="46">
        <f>17620622/5280</f>
        <v>3337.2390151515151</v>
      </c>
      <c r="M73" s="56"/>
      <c r="N73" s="49"/>
      <c r="O73" s="47" t="s">
        <v>273</v>
      </c>
      <c r="P73" s="68" t="s">
        <v>125</v>
      </c>
    </row>
    <row r="74" spans="1:16" s="13" customFormat="1" ht="12.75">
      <c r="A74" s="13" t="s">
        <v>27</v>
      </c>
      <c r="B74" s="13" t="s">
        <v>47</v>
      </c>
      <c r="C74" s="39">
        <v>5638.7998195584059</v>
      </c>
      <c r="D74" s="40">
        <v>11277.599639116812</v>
      </c>
      <c r="E74" s="42">
        <v>22555.199278233624</v>
      </c>
      <c r="F74" s="13">
        <v>2018</v>
      </c>
      <c r="G74" s="13">
        <v>1.18</v>
      </c>
      <c r="H74" s="39">
        <v>6653.783787078919</v>
      </c>
      <c r="I74" s="40">
        <v>13307.567574157838</v>
      </c>
      <c r="J74" s="42">
        <v>26615.135148315676</v>
      </c>
      <c r="K74" s="16" t="s">
        <v>223</v>
      </c>
      <c r="L74" s="43"/>
      <c r="M74" s="56"/>
      <c r="N74" s="49"/>
      <c r="O74" s="47" t="s">
        <v>274</v>
      </c>
      <c r="P74" s="69" t="s">
        <v>48</v>
      </c>
    </row>
    <row r="75" spans="1:16" s="13" customFormat="1" ht="12.75">
      <c r="A75" s="13" t="s">
        <v>27</v>
      </c>
      <c r="B75" s="13" t="s">
        <v>59</v>
      </c>
      <c r="C75" s="39">
        <v>9000</v>
      </c>
      <c r="D75" s="40">
        <v>18000</v>
      </c>
      <c r="E75" s="42">
        <v>36000</v>
      </c>
      <c r="F75" s="13">
        <v>2018</v>
      </c>
      <c r="G75" s="13">
        <v>1.18</v>
      </c>
      <c r="H75" s="39">
        <v>10620</v>
      </c>
      <c r="I75" s="40">
        <v>21240</v>
      </c>
      <c r="J75" s="42">
        <v>42480</v>
      </c>
      <c r="K75" s="16" t="s">
        <v>223</v>
      </c>
      <c r="L75" s="43"/>
      <c r="M75" s="56"/>
      <c r="N75" s="49"/>
      <c r="O75" s="13" t="s">
        <v>239</v>
      </c>
      <c r="P75" s="69" t="s">
        <v>51</v>
      </c>
    </row>
    <row r="76" spans="1:16" s="13" customFormat="1" ht="12.75">
      <c r="A76" s="13" t="s">
        <v>27</v>
      </c>
      <c r="B76" s="13" t="s">
        <v>53</v>
      </c>
      <c r="C76" s="39">
        <v>869.5</v>
      </c>
      <c r="D76" s="40">
        <v>3130</v>
      </c>
      <c r="E76" s="42">
        <v>9738</v>
      </c>
      <c r="F76" s="13">
        <v>2015</v>
      </c>
      <c r="G76" s="13">
        <v>1.24</v>
      </c>
      <c r="H76" s="39">
        <v>1078.18</v>
      </c>
      <c r="I76" s="40">
        <v>3881.2</v>
      </c>
      <c r="J76" s="42">
        <v>12075.12</v>
      </c>
      <c r="K76" s="16" t="s">
        <v>223</v>
      </c>
      <c r="L76" s="43"/>
      <c r="M76" s="56"/>
      <c r="N76" s="49"/>
      <c r="O76" s="13" t="s">
        <v>236</v>
      </c>
      <c r="P76" s="68" t="s">
        <v>54</v>
      </c>
    </row>
    <row r="77" spans="1:16" s="13" customFormat="1" ht="12.75">
      <c r="A77" s="13" t="s">
        <v>27</v>
      </c>
      <c r="B77" s="13" t="s">
        <v>149</v>
      </c>
      <c r="C77" s="39">
        <v>13000</v>
      </c>
      <c r="D77" s="40">
        <v>26000</v>
      </c>
      <c r="E77" s="42">
        <v>52000</v>
      </c>
      <c r="F77" s="13">
        <v>2022</v>
      </c>
      <c r="G77" s="13">
        <v>1</v>
      </c>
      <c r="H77" s="39">
        <v>13000</v>
      </c>
      <c r="I77" s="40">
        <v>26000</v>
      </c>
      <c r="J77" s="42">
        <v>52000</v>
      </c>
      <c r="K77" s="16" t="s">
        <v>223</v>
      </c>
      <c r="L77" s="43"/>
      <c r="M77" s="56"/>
      <c r="N77" s="49"/>
      <c r="O77" s="47" t="s">
        <v>235</v>
      </c>
      <c r="P77" s="75"/>
    </row>
    <row r="78" spans="1:16" s="13" customFormat="1" ht="12.75">
      <c r="A78" s="13" t="s">
        <v>27</v>
      </c>
      <c r="B78" s="13" t="s">
        <v>150</v>
      </c>
      <c r="C78" s="39">
        <v>18000</v>
      </c>
      <c r="D78" s="40">
        <v>36000</v>
      </c>
      <c r="E78" s="42">
        <v>72000</v>
      </c>
      <c r="F78" s="13">
        <v>2022</v>
      </c>
      <c r="G78" s="13">
        <v>1</v>
      </c>
      <c r="H78" s="39">
        <v>18000</v>
      </c>
      <c r="I78" s="40">
        <v>36000</v>
      </c>
      <c r="J78" s="42">
        <v>72000</v>
      </c>
      <c r="K78" s="16" t="s">
        <v>223</v>
      </c>
      <c r="L78" s="43"/>
      <c r="M78" s="56"/>
      <c r="N78" s="49"/>
      <c r="O78" s="47" t="s">
        <v>235</v>
      </c>
      <c r="P78" s="75"/>
    </row>
    <row r="79" spans="1:16" s="13" customFormat="1" ht="12.75">
      <c r="A79" s="13" t="s">
        <v>100</v>
      </c>
      <c r="B79" s="13" t="s">
        <v>132</v>
      </c>
      <c r="C79" s="39">
        <v>37665.092483333334</v>
      </c>
      <c r="D79" s="40">
        <v>72297.698181818181</v>
      </c>
      <c r="E79" s="42">
        <v>112463.08606060606</v>
      </c>
      <c r="F79" s="13">
        <v>2019</v>
      </c>
      <c r="G79" s="13">
        <v>1.1499999999999999</v>
      </c>
      <c r="H79" s="39">
        <v>43314.856355833334</v>
      </c>
      <c r="I79" s="40">
        <v>83142.3529090909</v>
      </c>
      <c r="J79" s="42">
        <v>129332.54896969696</v>
      </c>
      <c r="K79" s="16" t="s">
        <v>223</v>
      </c>
      <c r="L79" s="46">
        <f>106036624/5280</f>
        <v>20082.693939393939</v>
      </c>
      <c r="M79" s="51"/>
      <c r="N79" s="45"/>
      <c r="O79" s="13" t="s">
        <v>135</v>
      </c>
      <c r="P79" s="72"/>
    </row>
    <row r="80" spans="1:16" s="13" customFormat="1" ht="12.75">
      <c r="A80" s="13" t="s">
        <v>100</v>
      </c>
      <c r="B80" s="13" t="s">
        <v>133</v>
      </c>
      <c r="C80" s="39">
        <v>68925.959872916676</v>
      </c>
      <c r="D80" s="40">
        <v>132302.56227272729</v>
      </c>
      <c r="E80" s="42">
        <v>205803.98575757578</v>
      </c>
      <c r="F80" s="13">
        <v>2019</v>
      </c>
      <c r="G80" s="13">
        <v>1.1499999999999999</v>
      </c>
      <c r="H80" s="39">
        <v>79264.853853854176</v>
      </c>
      <c r="I80" s="40">
        <v>152147.94661363636</v>
      </c>
      <c r="J80" s="42">
        <v>236674.58362121214</v>
      </c>
      <c r="K80" s="16" t="s">
        <v>223</v>
      </c>
      <c r="L80" s="46">
        <f>194043758/5280</f>
        <v>36750.711742424246</v>
      </c>
      <c r="M80" s="51"/>
      <c r="N80" s="45"/>
      <c r="O80" s="13" t="s">
        <v>136</v>
      </c>
      <c r="P80" s="72"/>
    </row>
    <row r="81" spans="1:16" s="13" customFormat="1" ht="12.75">
      <c r="A81" s="13" t="s">
        <v>100</v>
      </c>
      <c r="B81" s="13" t="s">
        <v>134</v>
      </c>
      <c r="C81" s="39">
        <v>105545.62023958334</v>
      </c>
      <c r="D81" s="40">
        <v>202593.56590909092</v>
      </c>
      <c r="E81" s="42">
        <v>315145.54696969694</v>
      </c>
      <c r="F81" s="13">
        <v>2019</v>
      </c>
      <c r="G81" s="13">
        <v>1.1499999999999999</v>
      </c>
      <c r="H81" s="39">
        <v>121377.46327552083</v>
      </c>
      <c r="I81" s="40">
        <v>232982.60079545455</v>
      </c>
      <c r="J81" s="42">
        <v>362417.37901515147</v>
      </c>
      <c r="K81" s="16" t="s">
        <v>223</v>
      </c>
      <c r="L81" s="46">
        <f>297137230/5280</f>
        <v>56275.990530303032</v>
      </c>
      <c r="M81" s="51"/>
      <c r="N81" s="45"/>
      <c r="O81" s="13" t="s">
        <v>137</v>
      </c>
      <c r="P81" s="72"/>
    </row>
    <row r="82" spans="1:16" s="13" customFormat="1" ht="12.75">
      <c r="A82" s="13" t="s">
        <v>100</v>
      </c>
      <c r="B82" s="13" t="s">
        <v>47</v>
      </c>
      <c r="C82" s="39">
        <v>14250</v>
      </c>
      <c r="D82" s="40">
        <v>28500</v>
      </c>
      <c r="E82" s="42">
        <v>57000</v>
      </c>
      <c r="F82" s="13">
        <v>2018</v>
      </c>
      <c r="G82" s="13">
        <v>1.18</v>
      </c>
      <c r="H82" s="39">
        <v>16815</v>
      </c>
      <c r="I82" s="40">
        <v>33630</v>
      </c>
      <c r="J82" s="42">
        <v>67260</v>
      </c>
      <c r="K82" s="16" t="s">
        <v>224</v>
      </c>
      <c r="L82" s="43"/>
      <c r="M82" s="51"/>
      <c r="N82" s="45"/>
      <c r="O82" s="13" t="s">
        <v>225</v>
      </c>
      <c r="P82" s="72"/>
    </row>
    <row r="83" spans="1:16" s="13" customFormat="1" ht="12.75">
      <c r="A83" s="13" t="s">
        <v>103</v>
      </c>
      <c r="B83" s="13" t="s">
        <v>63</v>
      </c>
      <c r="C83" s="39">
        <v>501212.96296296298</v>
      </c>
      <c r="D83" s="40">
        <v>501212.96296296298</v>
      </c>
      <c r="E83" s="42">
        <v>501212.96296296298</v>
      </c>
      <c r="F83" s="13">
        <v>2018</v>
      </c>
      <c r="H83" s="39">
        <v>589261.30000000005</v>
      </c>
      <c r="I83" s="40">
        <v>589261.30000000005</v>
      </c>
      <c r="J83" s="42">
        <v>589261.30000000005</v>
      </c>
      <c r="K83" s="16" t="s">
        <v>139</v>
      </c>
      <c r="L83" s="46"/>
      <c r="M83" s="44">
        <v>54131000</v>
      </c>
      <c r="N83" s="45">
        <v>108</v>
      </c>
      <c r="O83" s="13" t="s">
        <v>156</v>
      </c>
      <c r="P83" s="65" t="s">
        <v>122</v>
      </c>
    </row>
    <row r="84" spans="1:16" s="13" customFormat="1" ht="12.75"/>
    <row r="85" spans="1:16" s="13" customFormat="1" ht="12.75"/>
    <row r="86" spans="1:16" s="13" customFormat="1" ht="12.75"/>
    <row r="87" spans="1:16" s="13" customFormat="1" ht="12.75"/>
    <row r="88" spans="1:16" s="13" customFormat="1" ht="12.75"/>
    <row r="89" spans="1:16" s="13" customFormat="1" ht="12.75"/>
    <row r="90" spans="1:16" s="13" customFormat="1" ht="12.75"/>
    <row r="91" spans="1:16" s="13" customFormat="1" ht="12.75"/>
    <row r="92" spans="1:16" s="13" customFormat="1" ht="12.75"/>
    <row r="93" spans="1:16" s="13" customFormat="1" ht="12.75"/>
    <row r="94" spans="1:16" s="13" customFormat="1" ht="12.75"/>
    <row r="95" spans="1:16" s="13" customFormat="1" ht="12.75"/>
    <row r="96" spans="1:1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sheetData>
  <mergeCells count="5">
    <mergeCell ref="L3:P3"/>
    <mergeCell ref="H3:J3"/>
    <mergeCell ref="F3:G3"/>
    <mergeCell ref="C3:E3"/>
    <mergeCell ref="A2:K2"/>
  </mergeCells>
  <hyperlinks>
    <hyperlink ref="P5" r:id="rId1" xr:uid="{BCE2D758-17C2-4B67-AE7A-51E0DEB885EE}"/>
    <hyperlink ref="P7" r:id="rId2" xr:uid="{848AFC52-876C-402A-A77B-BA6D7F14F278}"/>
    <hyperlink ref="P6" r:id="rId3" xr:uid="{7A1DB3B1-AC43-43C3-A170-5CC2E3D1D0B1}"/>
    <hyperlink ref="P8" r:id="rId4" xr:uid="{D5A69BDA-44B4-4091-B140-C9B2A1EAB632}"/>
    <hyperlink ref="P9" r:id="rId5" xr:uid="{7DF62296-D19E-47C0-AD29-6473DEE9A926}"/>
    <hyperlink ref="P10" r:id="rId6" xr:uid="{C8080DD6-6FEC-4527-BA15-90ED02C2EF69}"/>
    <hyperlink ref="P11" r:id="rId7" xr:uid="{F5B4D2A0-4D07-47FC-855D-5C4B58DAAA96}"/>
    <hyperlink ref="P12" r:id="rId8" xr:uid="{286F86A4-BC50-4BA2-AC9E-8D023F0076DE}"/>
    <hyperlink ref="P13" r:id="rId9" xr:uid="{492336D0-712D-4968-91F1-E20FC509A577}"/>
    <hyperlink ref="P14" r:id="rId10" xr:uid="{803150B4-CA1F-47D4-B223-808CCE2B6FBC}"/>
    <hyperlink ref="P15" r:id="rId11" xr:uid="{D55C2CA1-23E6-458B-BF25-8557C2577953}"/>
    <hyperlink ref="P21" r:id="rId12" xr:uid="{69EE4097-450D-4665-B2C2-F1D10F27079B}"/>
    <hyperlink ref="P22" r:id="rId13" xr:uid="{F4F42A95-A989-4F5A-898E-522BDC8C8B43}"/>
    <hyperlink ref="P20" r:id="rId14" xr:uid="{654F2BFB-14F6-4C1D-BAF3-B3DE1E8AA094}"/>
    <hyperlink ref="P19" r:id="rId15" xr:uid="{D8E1173C-417B-4D57-B06A-B39A71AC1B2E}"/>
    <hyperlink ref="P16" r:id="rId16" xr:uid="{1A61CAA9-145C-4EBE-9114-2E1F085B975C}"/>
    <hyperlink ref="P17" r:id="rId17" xr:uid="{167A2153-A6AB-41A8-B8D9-3027F31BC367}"/>
    <hyperlink ref="P18" r:id="rId18" xr:uid="{E0AAFABB-F549-43F8-BAB3-27C10AD7AFBD}"/>
    <hyperlink ref="P23" r:id="rId19" xr:uid="{8AD9CAD0-4789-4B7D-8AD2-16186028283F}"/>
    <hyperlink ref="P24" r:id="rId20" xr:uid="{FD868243-0F3A-4F0B-A0C1-3BC762DB4829}"/>
    <hyperlink ref="P25" r:id="rId21" xr:uid="{14FC9EA8-48D3-4F9C-A46D-7A5EADEDC310}"/>
    <hyperlink ref="P26" r:id="rId22" xr:uid="{F59F08E5-4746-40C3-B410-2C039D27BA41}"/>
    <hyperlink ref="P27" r:id="rId23" xr:uid="{0FFA9424-EED5-479F-A81E-AE371CF37B34}"/>
    <hyperlink ref="P28" r:id="rId24" xr:uid="{FC81BD2B-680D-46C5-9825-BE189D0AA3E5}"/>
    <hyperlink ref="P33" r:id="rId25" xr:uid="{2E33DF98-2DEC-489A-8EB3-8D88DF1DA2DF}"/>
    <hyperlink ref="P30" r:id="rId26" xr:uid="{8F3C71FF-432A-4C61-AEAA-B15C0DC7B077}"/>
    <hyperlink ref="P31" r:id="rId27" xr:uid="{EC4856F4-0FE9-408E-A2AF-42385EC60326}"/>
    <hyperlink ref="P32" r:id="rId28" xr:uid="{2AFA9A51-78C4-4774-840E-5E5D4443F780}"/>
    <hyperlink ref="P34" r:id="rId29" xr:uid="{0ABD4482-2B6C-49B3-8DCD-417EBAE587E1}"/>
    <hyperlink ref="P38" r:id="rId30" xr:uid="{E3C0AFA0-CF5E-4EF1-B5E5-44908C369783}"/>
    <hyperlink ref="P39" r:id="rId31" xr:uid="{F0890219-C6E5-4761-A623-8CFBDA65AA22}"/>
    <hyperlink ref="P36" r:id="rId32" xr:uid="{5F64D66A-5C64-450B-9C04-F1B30B5235C8}"/>
    <hyperlink ref="P37" r:id="rId33" xr:uid="{F1A9D7FF-271A-4E4C-AD65-0A614C385978}"/>
    <hyperlink ref="P43" r:id="rId34" xr:uid="{3895CEDF-5864-4C65-84C2-EDF38B051A2E}"/>
    <hyperlink ref="P44" r:id="rId35" xr:uid="{E68CCD7E-3C9D-42AD-B463-7EC093B6616E}"/>
    <hyperlink ref="P46" r:id="rId36" xr:uid="{03DA5E79-D398-478E-B81E-658C7F2BDE2C}"/>
    <hyperlink ref="P42" r:id="rId37" xr:uid="{7F1E1CD6-3149-41C2-BD65-69392DAA5C0B}"/>
    <hyperlink ref="P41" r:id="rId38" xr:uid="{16D2D124-85CF-4986-8DE8-5D2BDDEBDADD}"/>
    <hyperlink ref="P53" r:id="rId39" xr:uid="{6B873A01-D1C8-4004-93F4-3BE6C98C5335}"/>
    <hyperlink ref="P55" r:id="rId40" xr:uid="{7CFE9D53-FC53-4F1B-A762-A7226091CC17}"/>
    <hyperlink ref="P56" r:id="rId41" xr:uid="{D8553673-3101-4118-B340-8C6A27DD76AE}"/>
    <hyperlink ref="Q56" r:id="rId42" xr:uid="{492EFBED-6C65-45F5-B66C-5D7962D79AD5}"/>
    <hyperlink ref="P57" r:id="rId43" xr:uid="{93A4F335-7899-4122-85EC-85603315D487}"/>
    <hyperlink ref="P50" r:id="rId44" xr:uid="{99475D3D-74C4-4CF7-B97D-814853CC2F98}"/>
    <hyperlink ref="P54" r:id="rId45" xr:uid="{BAE96104-F6A4-4D7B-B66C-E1D8AFAFB509}"/>
    <hyperlink ref="P51" r:id="rId46" xr:uid="{256A6316-C486-44B1-A551-F3EFB3E51CA5}"/>
    <hyperlink ref="P52" r:id="rId47" xr:uid="{577BE9D5-6A94-4B8C-93E8-F26021441B01}"/>
    <hyperlink ref="P49" r:id="rId48" xr:uid="{746A6473-13F2-4119-8C21-C9D7CA46681B}"/>
    <hyperlink ref="P60" r:id="rId49" display="file:///Users/ameliastonkus/Downloads/Costs_of_Adapting_Coastal_Defences_to_Sea-Level_Ri.pdf" xr:uid="{D6C6F4E3-B4B9-4442-AB3C-9FE9A6EF1E39}"/>
    <hyperlink ref="P59" r:id="rId50" xr:uid="{469279FB-5880-4976-B68A-EAB17C0AAC36}"/>
    <hyperlink ref="P63" r:id="rId51" xr:uid="{74528E33-9042-42B1-8313-F0F6E4B93172}"/>
    <hyperlink ref="P64" r:id="rId52" xr:uid="{693DB641-3E84-4A18-84A5-552464A4186D}"/>
    <hyperlink ref="P66" r:id="rId53" xr:uid="{A19C1FD9-9F25-476B-A0CC-E56F5B49848A}"/>
    <hyperlink ref="P67" r:id="rId54" xr:uid="{DC6B93B0-A9CB-42A3-A436-BA2D88E61E83}"/>
    <hyperlink ref="P69" r:id="rId55" xr:uid="{045A6665-EBE2-45CD-A2E6-C95E8CD4AEBE}"/>
    <hyperlink ref="P70" r:id="rId56" xr:uid="{F541FCCB-71CA-4996-ABD6-BB4DD91C3471}"/>
    <hyperlink ref="P71" r:id="rId57" xr:uid="{E03E4A6C-A3CE-4507-92C7-BF9A41B7A7BE}"/>
    <hyperlink ref="P74" r:id="rId58" xr:uid="{F7EBF9FD-8E3B-4D95-A1C0-B6D94FEB50AD}"/>
    <hyperlink ref="P75" r:id="rId59" xr:uid="{704FCE8F-2501-42A0-BC93-62673EB8F881}"/>
    <hyperlink ref="P72" r:id="rId60" xr:uid="{6D28D67A-E3EB-4908-8E25-EB0ECCDDFE35}"/>
    <hyperlink ref="P73" r:id="rId61" xr:uid="{6DFAD385-0CF9-4869-BA43-AA6D3C47FEF2}"/>
    <hyperlink ref="P76" r:id="rId62" xr:uid="{7265C699-CEC0-42EA-ACF5-F79CA1EEA059}"/>
    <hyperlink ref="P83" r:id="rId63" xr:uid="{78001594-E3EE-49AC-BDDB-9138B5E85F3B}"/>
  </hyperlinks>
  <pageMargins left="0.7" right="0.7" top="0.75" bottom="0.75" header="0.3" footer="0.3"/>
  <pageSetup orientation="portrait" verticalDpi="0" r:id="rId6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6723fd-9950-4a51-81eb-81d0a6435b3d" xsi:nil="true"/>
    <lcf76f155ced4ddcb4097134ff3c332f xmlns="d10d6a3f-5cfc-4277-87ba-ce8fa16ea15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C3D2B28608B54B8199496EA6DFFE43" ma:contentTypeVersion="14" ma:contentTypeDescription="Create a new document." ma:contentTypeScope="" ma:versionID="684ffcbc63a1e6b5c84d87a549e84786">
  <xsd:schema xmlns:xsd="http://www.w3.org/2001/XMLSchema" xmlns:xs="http://www.w3.org/2001/XMLSchema" xmlns:p="http://schemas.microsoft.com/office/2006/metadata/properties" xmlns:ns2="d10d6a3f-5cfc-4277-87ba-ce8fa16ea15f" xmlns:ns3="786723fd-9950-4a51-81eb-81d0a6435b3d" targetNamespace="http://schemas.microsoft.com/office/2006/metadata/properties" ma:root="true" ma:fieldsID="35758a9a2478e15a80b01073175e816a" ns2:_="" ns3:_="">
    <xsd:import namespace="d10d6a3f-5cfc-4277-87ba-ce8fa16ea15f"/>
    <xsd:import namespace="786723fd-9950-4a51-81eb-81d0a6435b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0d6a3f-5cfc-4277-87ba-ce8fa16ea1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68d6cbf-1176-49d8-a5cb-bcd2dc3d5cc5" ma:termSetId="09814cd3-568e-fe90-9814-8d621ff8fb84" ma:anchorId="fba54fb3-c3e1-fe81-a776-ca4b69148c4d" ma:open="true" ma:isKeyword="false">
      <xsd:complexType>
        <xsd:sequence>
          <xsd:element ref="pc:Terms" minOccurs="0" maxOccurs="1"/>
        </xsd:sequence>
      </xsd:complex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6723fd-9950-4a51-81eb-81d0a6435b3d"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d46b251-970d-4f98-a6d7-ed1a9ce7454d}" ma:internalName="TaxCatchAll" ma:showField="CatchAllData" ma:web="786723fd-9950-4a51-81eb-81d0a6435b3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1A3F3-AB1F-4B13-BB61-072C606BA89E}">
  <ds:schemaRefs>
    <ds:schemaRef ds:uri="http://www.w3.org/XML/1998/namespace"/>
    <ds:schemaRef ds:uri="http://schemas.microsoft.com/office/infopath/2007/PartnerControls"/>
    <ds:schemaRef ds:uri="http://schemas.microsoft.com/office/2006/documentManagement/types"/>
    <ds:schemaRef ds:uri="http://purl.org/dc/dcmitype/"/>
    <ds:schemaRef ds:uri="d10d6a3f-5cfc-4277-87ba-ce8fa16ea15f"/>
    <ds:schemaRef ds:uri="http://schemas.microsoft.com/office/2006/metadata/properties"/>
    <ds:schemaRef ds:uri="http://purl.org/dc/elements/1.1/"/>
    <ds:schemaRef ds:uri="http://schemas.openxmlformats.org/package/2006/metadata/core-properties"/>
    <ds:schemaRef ds:uri="786723fd-9950-4a51-81eb-81d0a6435b3d"/>
    <ds:schemaRef ds:uri="http://purl.org/dc/terms/"/>
  </ds:schemaRefs>
</ds:datastoreItem>
</file>

<file path=customXml/itemProps2.xml><?xml version="1.0" encoding="utf-8"?>
<ds:datastoreItem xmlns:ds="http://schemas.openxmlformats.org/officeDocument/2006/customXml" ds:itemID="{6C203A5F-E706-4951-B12C-3E20B3691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0d6a3f-5cfc-4277-87ba-ce8fa16ea15f"/>
    <ds:schemaRef ds:uri="786723fd-9950-4a51-81eb-81d0a6435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98C9C3-0CA8-4BF1-A5B4-67B23AD173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Archetype Costs Master Key</vt:lpstr>
      <vt:lpstr>Archetype Details</vt:lpstr>
    </vt:vector>
  </TitlesOfParts>
  <Manager>rhartofelis@bayareametro.gov</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Framework Activity Archetype Costs</dc:title>
  <dc:subject/>
  <dc:creator>Hallenbeck, Todd@BCDC;rhartofelis@bayareametro.gov</dc:creator>
  <cp:keywords/>
  <dc:description/>
  <cp:lastModifiedBy>Rachael Hartofelis</cp:lastModifiedBy>
  <cp:revision/>
  <dcterms:created xsi:type="dcterms:W3CDTF">2022-06-27T18:22:03Z</dcterms:created>
  <dcterms:modified xsi:type="dcterms:W3CDTF">2023-06-21T17:44:45Z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0x01010057C3D2B28608B54B8199496EA6DFFE43</vt:lpwstr>
  </property>
  <property fmtid="{D5CDD505-2E9C-101B-9397-08002B2CF9AE}" pid="3" name="MediaServiceImageTags">
    <vt:lpwstr/>
  </property>
</Properties>
</file>